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5028"/>
  <workbookPr codeName="ThisWorkbook" defaultThemeVersion="166925"/>
  <bookViews>
    <workbookView xWindow="-120" yWindow="-120" windowWidth="25440" windowHeight="15390"/>
  </bookViews>
  <sheets>
    <sheet name="S52 part 2" sheetId="1" r:id="rId1"/>
  </sheets>
  <calcPr fullPrecision="1"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<sst xmlns="http://schemas.openxmlformats.org/spreadsheetml/2006/main" uniqueCount="101" count="163">
  <si>
    <t>Vale of Glamorgan Council</t>
  </si>
  <si>
    <t>LEA:673</t>
  </si>
  <si>
    <t>2022-23 Section 52 Budget Statement</t>
  </si>
  <si>
    <t>Part 2 - Individual schools Budget - Funding Factors</t>
  </si>
  <si>
    <t>Year</t>
  </si>
  <si>
    <t>Group</t>
  </si>
  <si>
    <t>Age</t>
  </si>
  <si>
    <t>Range</t>
  </si>
  <si>
    <t>Pupil</t>
  </si>
  <si>
    <t>Numbers</t>
  </si>
  <si>
    <t>Funding</t>
  </si>
  <si>
    <t>per pupil</t>
  </si>
  <si>
    <t>Funds</t>
  </si>
  <si>
    <t>Nursery</t>
  </si>
  <si>
    <t>Age 2-4</t>
  </si>
  <si>
    <t>Age 4-5</t>
  </si>
  <si>
    <t>Age 5-7</t>
  </si>
  <si>
    <t>Age 7-11</t>
  </si>
  <si>
    <t>Age 11-14</t>
  </si>
  <si>
    <t>Age 14-15</t>
  </si>
  <si>
    <t>Age 15-16</t>
  </si>
  <si>
    <t>TOTALS</t>
  </si>
  <si>
    <t>Nursery Schools</t>
  </si>
  <si>
    <t>Primary Schools</t>
  </si>
  <si>
    <t>Secondary Schools</t>
  </si>
  <si>
    <t>Age 3-19 schools</t>
  </si>
  <si>
    <t>Allocated</t>
  </si>
  <si>
    <t>Reception</t>
  </si>
  <si>
    <t>Year 1-2</t>
  </si>
  <si>
    <t>Year 3-6</t>
  </si>
  <si>
    <t>Year 7-9</t>
  </si>
  <si>
    <t>Year 10</t>
  </si>
  <si>
    <t>Year 11</t>
  </si>
  <si>
    <t>TOTAL</t>
  </si>
  <si>
    <t>Pupil numbers are calculated by taking the actual number on roll as at january 2022</t>
  </si>
  <si>
    <t>Deducting 50% of the previous year forecast (estimaed January 2021)</t>
  </si>
  <si>
    <t>Adding 50% of the forecast for the following January 2023 (estimated January 2022)</t>
  </si>
  <si>
    <t>£'000</t>
  </si>
  <si>
    <t>by pupils</t>
  </si>
  <si>
    <t>(note Grant funded post 16 pupils are funded by a separate calculation to the AWPU)</t>
  </si>
  <si>
    <t xml:space="preserve">Years 12 and 13 </t>
  </si>
  <si>
    <t>methodolgy</t>
  </si>
  <si>
    <t>AWPU</t>
  </si>
  <si>
    <t>GRANT</t>
  </si>
  <si>
    <t>Age 16-18</t>
  </si>
  <si>
    <t>Budget</t>
  </si>
  <si>
    <t>Delegated</t>
  </si>
  <si>
    <t>Pupil funding</t>
  </si>
  <si>
    <t>% of</t>
  </si>
  <si>
    <t>Breakfast</t>
  </si>
  <si>
    <t>Clubs</t>
  </si>
  <si>
    <t>ALN</t>
  </si>
  <si>
    <t>Free school</t>
  </si>
  <si>
    <t>Meals</t>
  </si>
  <si>
    <t>AWPU/</t>
  </si>
  <si>
    <t>and post 16</t>
  </si>
  <si>
    <t>1.a. Age Weighted Pupil Unit - Table identifying Age Weighted Pupil Units</t>
  </si>
  <si>
    <t>1.b. Table identifying Percentage of sector budget driven by age weighted pupil unit (AWPU) and post 16 formula</t>
  </si>
  <si>
    <t>1.c. Table to add Further Pupil led Funding not included within the Age Weighted Pupil Unit</t>
  </si>
  <si>
    <t>GRAND TOTAL</t>
  </si>
  <si>
    <t>Pupil Led funds</t>
  </si>
  <si>
    <t>1. Section 1 - Pupil Led Funding</t>
  </si>
  <si>
    <t>2. Section 2 Funds not driven by pupil numbers</t>
  </si>
  <si>
    <t>School</t>
  </si>
  <si>
    <t>School Management including Headteacher, Caretaking and Admin</t>
  </si>
  <si>
    <t>Primary</t>
  </si>
  <si>
    <t>Total</t>
  </si>
  <si>
    <t>Age 3-19</t>
  </si>
  <si>
    <t>Secondary</t>
  </si>
  <si>
    <t>Other</t>
  </si>
  <si>
    <t>Central Support</t>
  </si>
  <si>
    <t>Buildings and grounds including rates, energy, cleaning, repairs, recycling</t>
  </si>
  <si>
    <t>Smaller schools allowance</t>
  </si>
  <si>
    <t>Split Site Allowance</t>
  </si>
  <si>
    <t>A. Mainstream Schools</t>
  </si>
  <si>
    <t>B. Special Schools</t>
  </si>
  <si>
    <t>Category</t>
  </si>
  <si>
    <t>Band A</t>
  </si>
  <si>
    <t>Band B</t>
  </si>
  <si>
    <t>Band C</t>
  </si>
  <si>
    <t>Band D</t>
  </si>
  <si>
    <t>Band E</t>
  </si>
  <si>
    <t>3. Section 3 Special school - Pupil Led Funding</t>
  </si>
  <si>
    <t>3.a. Band Weighted Pupil Unit - Table identifying Funding allocated by pupil needs</t>
  </si>
  <si>
    <t>Area Delegated</t>
  </si>
  <si>
    <t>3.b. Resource bases and  pupil referral units delegated to special school</t>
  </si>
  <si>
    <t>Pupil Referral Unit</t>
  </si>
  <si>
    <t>learning and Wellbeing anxiety</t>
  </si>
  <si>
    <t>Early Intervention Base</t>
  </si>
  <si>
    <t>Special Resource Base St Illtyds</t>
  </si>
  <si>
    <t>Gladstone Behaviour Resource base</t>
  </si>
  <si>
    <t>3.c Free school Meals Allocation</t>
  </si>
  <si>
    <t>4. Section 4. Special school funds not driven by pupil numbers</t>
  </si>
  <si>
    <t>Leadership, administration and caretaking</t>
  </si>
  <si>
    <t>5. Section 5 Summary of total Special budget</t>
  </si>
  <si>
    <t>Special school Pupil driven funding</t>
  </si>
  <si>
    <t>Outreach to Mainstream</t>
  </si>
  <si>
    <t>Resource bases and Pupil Referral Unit</t>
  </si>
  <si>
    <t>Free School Meals</t>
  </si>
  <si>
    <t>TOTAL PUPIL LED FUNDING</t>
  </si>
  <si>
    <t>Non Pupil led funding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</si>
</sst>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4">
    <numFmt numFmtId="6" formatCode="&quot;£&quot;#,##0;[Red]\-&quot;£&quot;#,##0"/>
    <numFmt numFmtId="8" formatCode="&quot;£&quot;#,##0.00;[Red]\-&quot;£&quot;#,##0.00"/>
    <numFmt numFmtId="164" formatCode="0.0%"/>
    <numFmt numFmtId="165" formatCode="#,##0.0"/>
  </numFmts>
  <fonts count="4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u val="single"/>
      <sz val="11"/>
      <color theme="1"/>
      <name val="Calibri"/>
      <family val="2"/>
      <charset val="0"/>
      <scheme val="minor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2" tint="-0.099948118533890809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</cellStyleXfs>
  <cellXfs>
    <xf numFmtId="0" fontId="0" fillId="0" borderId="0" xfId="0"/>
    <xf numFmtId="0" fontId="1" fillId="0" borderId="0" xfId="0" applyFont="1"/>
    <xf numFmtId="0" fontId="0" fillId="0" borderId="1" xfId="0" applyBorder="1"/>
    <xf numFmtId="16" fontId="0" fillId="0" borderId="1" xfId="0" applyBorder="1" applyNumberFormat="1"/>
    <xf numFmtId="0" fontId="1" fillId="0" borderId="1" xfId="0" applyBorder="1" applyFont="1"/>
    <xf numFmtId="0" fontId="1" fillId="2" borderId="2" xfId="0" applyAlignment="1" applyBorder="1" applyFont="1" applyFill="1">
      <alignment horizontal="center"/>
    </xf>
    <xf numFmtId="0" fontId="1" fillId="2" borderId="3" xfId="0" applyAlignment="1" applyBorder="1" applyFont="1" applyFill="1">
      <alignment horizontal="center"/>
    </xf>
    <xf numFmtId="8" fontId="0" fillId="0" borderId="1" xfId="0" applyBorder="1" applyNumberFormat="1"/>
    <xf numFmtId="0" fontId="0" fillId="0" borderId="0" xfId="0" applyBorder="1"/>
    <xf numFmtId="8" fontId="0" fillId="0" borderId="0" xfId="0" applyBorder="1" applyNumberFormat="1"/>
    <xf numFmtId="0" fontId="1" fillId="2" borderId="4" xfId="0" applyAlignment="1" applyBorder="1" applyFont="1" applyFill="1">
      <alignment horizontal="center"/>
    </xf>
    <xf numFmtId="3" fontId="0" fillId="0" borderId="1" xfId="0" applyBorder="1" applyNumberFormat="1"/>
    <xf numFmtId="38" fontId="0" fillId="0" borderId="1" xfId="0" applyBorder="1" applyNumberFormat="1"/>
    <xf numFmtId="164" fontId="0" fillId="0" borderId="1" xfId="0" applyBorder="1" applyNumberFormat="1"/>
    <xf numFmtId="0" fontId="1" fillId="3" borderId="2" xfId="0" applyAlignment="1" applyBorder="1" applyFont="1" applyFill="1">
      <alignment horizontal="center"/>
    </xf>
    <xf numFmtId="0" fontId="1" fillId="3" borderId="3" xfId="0" applyAlignment="1" applyBorder="1" applyFont="1" applyFill="1">
      <alignment horizontal="center"/>
    </xf>
    <xf numFmtId="0" fontId="1" fillId="3" borderId="4" xfId="0" applyAlignment="1" applyBorder="1" applyFont="1" applyFill="1">
      <alignment horizontal="center"/>
    </xf>
    <xf numFmtId="10" fontId="0" fillId="0" borderId="1" xfId="0" applyBorder="1" applyNumberFormat="1"/>
    <xf numFmtId="10" fontId="1" fillId="0" borderId="1" xfId="0" applyBorder="1" applyFont="1" applyNumberFormat="1"/>
    <xf numFmtId="0" fontId="2" fillId="0" borderId="0" xfId="0" applyFont="1"/>
    <xf numFmtId="0" fontId="3" fillId="0" borderId="0" xfId="0" applyFont="1"/>
    <xf numFmtId="0" fontId="1" fillId="3" borderId="5" xfId="0" applyAlignment="1" applyBorder="1" applyFont="1" applyFill="1">
      <alignment horizontal="center"/>
    </xf>
    <xf numFmtId="0" fontId="1" fillId="3" borderId="6" xfId="0" applyAlignment="1" applyBorder="1" applyFont="1" applyFill="1">
      <alignment horizontal="center"/>
    </xf>
    <xf numFmtId="0" fontId="1" fillId="3" borderId="7" xfId="0" applyAlignment="1" applyBorder="1" applyFont="1" applyFill="1">
      <alignment horizontal="center"/>
    </xf>
    <xf numFmtId="0" fontId="1" fillId="3" borderId="8" xfId="0" applyAlignment="1" applyBorder="1" applyFont="1" applyFill="1">
      <alignment horizontal="center"/>
    </xf>
    <xf numFmtId="0" fontId="1" fillId="3" borderId="0" xfId="0" applyAlignment="1" applyBorder="1" applyFont="1" applyFill="1">
      <alignment horizontal="center"/>
    </xf>
    <xf numFmtId="0" fontId="1" fillId="3" borderId="9" xfId="0" applyAlignment="1" applyBorder="1" applyFont="1" applyFill="1">
      <alignment horizontal="center"/>
    </xf>
    <xf numFmtId="0" fontId="1" fillId="3" borderId="10" xfId="0" applyAlignment="1" applyBorder="1" applyFont="1" applyFill="1">
      <alignment horizontal="center"/>
    </xf>
    <xf numFmtId="0" fontId="1" fillId="3" borderId="11" xfId="0" applyAlignment="1" applyBorder="1" applyFont="1" applyFill="1">
      <alignment horizontal="center"/>
    </xf>
    <xf numFmtId="0" fontId="1" fillId="3" borderId="12" xfId="0" applyAlignment="1" applyBorder="1" applyFont="1" applyFill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3" xfId="0" applyBorder="1" applyFill="1"/>
    <xf numFmtId="0" fontId="1" fillId="0" borderId="13" xfId="0" applyBorder="1" applyFont="1"/>
    <xf numFmtId="0" fontId="1" fillId="0" borderId="14" xfId="0" applyBorder="1" applyFont="1"/>
    <xf numFmtId="0" fontId="1" fillId="0" borderId="15" xfId="0" applyBorder="1" applyFont="1"/>
    <xf numFmtId="3" fontId="1" fillId="0" borderId="1" xfId="0" applyBorder="1" applyFont="1" applyNumberFormat="1"/>
    <xf numFmtId="8" fontId="1" fillId="0" borderId="1" xfId="0" applyBorder="1" applyFont="1" applyNumberFormat="1"/>
    <xf numFmtId="38" fontId="1" fillId="0" borderId="1" xfId="0" applyBorder="1" applyFont="1" applyNumberFormat="1"/>
    <xf numFmtId="6" fontId="0" fillId="0" borderId="0" xfId="0" applyNumberFormat="1"/>
    <xf numFmtId="0" fontId="1" fillId="2" borderId="5" xfId="0" applyAlignment="1" applyBorder="1" applyFont="1" applyFill="1">
      <alignment horizontal="center"/>
    </xf>
    <xf numFmtId="0" fontId="1" fillId="2" borderId="8" xfId="0" applyAlignment="1" applyBorder="1" applyFont="1" applyFill="1">
      <alignment horizontal="center"/>
    </xf>
    <xf numFmtId="0" fontId="1" fillId="2" borderId="10" xfId="0" applyAlignment="1" applyBorder="1" applyFont="1" applyFill="1">
      <alignment horizontal="center"/>
    </xf>
    <xf numFmtId="0" fontId="0" fillId="0" borderId="10" xfId="0" applyBorder="1"/>
    <xf numFmtId="0" fontId="0" fillId="2" borderId="6" xfId="0" applyBorder="1" applyFill="1"/>
    <xf numFmtId="0" fontId="0" fillId="2" borderId="0" xfId="0" applyBorder="1" applyFill="1"/>
    <xf numFmtId="0" fontId="0" fillId="2" borderId="11" xfId="0" applyBorder="1" applyFill="1"/>
    <xf numFmtId="0" fontId="1" fillId="2" borderId="7" xfId="0" applyAlignment="1" applyBorder="1" applyFont="1" applyFill="1">
      <alignment horizontal="center"/>
    </xf>
    <xf numFmtId="0" fontId="1" fillId="2" borderId="9" xfId="0" applyAlignment="1" applyBorder="1" applyFont="1" applyFill="1">
      <alignment horizontal="center"/>
    </xf>
    <xf numFmtId="0" fontId="1" fillId="2" borderId="12" xfId="0" applyAlignment="1" applyBorder="1" applyFont="1" applyFill="1">
      <alignment horizontal="center"/>
    </xf>
    <xf numFmtId="3" fontId="0" fillId="0" borderId="15" xfId="0" applyBorder="1" applyNumberFormat="1"/>
    <xf numFmtId="3" fontId="1" fillId="0" borderId="15" xfId="0" applyBorder="1" applyFont="1" applyNumberFormat="1"/>
    <xf numFmtId="165" fontId="0" fillId="0" borderId="1" xfId="0" applyBorder="1" applyNumberFormat="1"/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I118"/>
  <sheetViews>
    <sheetView view="normal" tabSelected="1" workbookViewId="0">
      <selection pane="topLeft" activeCell="Q12" sqref="Q12"/>
    </sheetView>
  </sheetViews>
  <sheetFormatPr defaultRowHeight="15"/>
  <cols>
    <col min="1" max="1" width="3.375" customWidth="1"/>
    <col min="2" max="2" width="43.125" customWidth="1"/>
    <col min="3" max="3" width="10.125" bestFit="1" customWidth="1"/>
    <col min="4" max="4" width="12.875" customWidth="1"/>
    <col min="5" max="5" width="11.00390625" customWidth="1"/>
    <col min="6" max="6" width="12.75390625" bestFit="1" customWidth="1"/>
    <col min="7" max="7" width="14.75390625" bestFit="1" customWidth="1"/>
    <col min="8" max="8" width="10.125" bestFit="1" customWidth="1"/>
    <col min="9" max="9" width="12.875" bestFit="1" customWidth="1"/>
  </cols>
  <sheetData>
    <row r="1" spans="1:5">
      <c r="A1" s="1" t="s">
        <v>0</v>
      </c>
      <c r="B1" s="1"/>
      <c r="C1" s="1"/>
      <c r="D1" s="1" t="s">
        <v>1</v>
      </c>
      <c r="E1" s="1"/>
    </row>
    <row r="2" spans="1:5">
      <c r="A2" s="1" t="s">
        <v>2</v>
      </c>
      <c r="B2" s="1"/>
      <c r="C2" s="1"/>
      <c r="D2" s="1"/>
      <c r="E2" s="1"/>
    </row>
    <row r="3" spans="1:5">
      <c r="A3" s="1" t="s">
        <v>3</v>
      </c>
      <c r="B3" s="1"/>
      <c r="C3" s="1"/>
      <c r="D3" s="1"/>
      <c r="E3" s="1"/>
    </row>
    <row r="5" spans="1:1">
      <c r="A5" s="1" t="s">
        <v>74</v>
      </c>
    </row>
    <row r="7" spans="1:1" s="20" customFormat="1">
      <c r="A7" s="19" t="s">
        <v>61</v>
      </c>
    </row>
    <row r="8" spans="2:2">
      <c r="B8" t="s">
        <v>56</v>
      </c>
    </row>
    <row r="9" spans="2:2">
      <c r="B9" t="s">
        <v>39</v>
      </c>
    </row>
    <row r="11" spans="2:7">
      <c r="B11" s="5" t="s">
        <v>4</v>
      </c>
      <c r="C11" s="5" t="s">
        <v>6</v>
      </c>
      <c r="D11" s="5" t="s">
        <v>10</v>
      </c>
      <c r="E11" s="5" t="s">
        <v>8</v>
      </c>
      <c r="F11" s="5" t="s">
        <v>10</v>
      </c>
      <c r="G11" s="5" t="s">
        <v>12</v>
      </c>
    </row>
    <row r="12" spans="2:7">
      <c r="B12" s="10" t="s">
        <v>5</v>
      </c>
      <c r="C12" s="10" t="s">
        <v>7</v>
      </c>
      <c r="D12" s="10" t="s">
        <v>41</v>
      </c>
      <c r="E12" s="10" t="s">
        <v>9</v>
      </c>
      <c r="F12" s="10" t="s">
        <v>11</v>
      </c>
      <c r="G12" s="10" t="s">
        <v>26</v>
      </c>
    </row>
    <row r="13" spans="2:7">
      <c r="B13" s="6"/>
      <c r="C13" s="6"/>
      <c r="D13" s="6"/>
      <c r="E13" s="6"/>
      <c r="F13" s="6"/>
      <c r="G13" s="6" t="s">
        <v>37</v>
      </c>
    </row>
    <row r="14" spans="2:7">
      <c r="B14" s="2" t="s">
        <v>13</v>
      </c>
      <c r="C14" s="3" t="s">
        <v>14</v>
      </c>
      <c r="D14" s="3" t="s">
        <v>42</v>
      </c>
      <c r="E14" s="11">
        <v>1065</v>
      </c>
      <c r="F14" s="7">
        <v>3116.12</v>
      </c>
      <c r="G14" s="12">
        <f>ROUND(F14*E14/1000,0)</f>
        <v>3319</v>
      </c>
    </row>
    <row r="15" spans="2:7">
      <c r="B15" s="2" t="s">
        <v>27</v>
      </c>
      <c r="C15" s="2" t="s">
        <v>15</v>
      </c>
      <c r="D15" s="3" t="s">
        <v>42</v>
      </c>
      <c r="E15" s="11">
        <v>1580</v>
      </c>
      <c r="F15" s="7">
        <v>3207.16</v>
      </c>
      <c r="G15" s="12">
        <f>ROUND(F15*E15/1000,0)</f>
        <v>5067</v>
      </c>
    </row>
    <row r="16" spans="2:7">
      <c r="B16" s="2" t="s">
        <v>28</v>
      </c>
      <c r="C16" s="2" t="s">
        <v>16</v>
      </c>
      <c r="D16" s="3" t="s">
        <v>42</v>
      </c>
      <c r="E16" s="11">
        <v>3206</v>
      </c>
      <c r="F16" s="7">
        <v>2792.43</v>
      </c>
      <c r="G16" s="12">
        <f>ROUND(F16*E16/1000,0)</f>
        <v>8953</v>
      </c>
    </row>
    <row r="17" spans="2:7">
      <c r="B17" s="2" t="s">
        <v>29</v>
      </c>
      <c r="C17" s="2" t="s">
        <v>17</v>
      </c>
      <c r="D17" s="3" t="s">
        <v>42</v>
      </c>
      <c r="E17" s="11">
        <v>6533</v>
      </c>
      <c r="F17" s="7">
        <v>2551.46</v>
      </c>
      <c r="G17" s="12">
        <f>ROUND(F17*E17/1000,0)</f>
        <v>16669</v>
      </c>
    </row>
    <row r="18" spans="2:7">
      <c r="B18" s="2" t="s">
        <v>30</v>
      </c>
      <c r="C18" s="2" t="s">
        <v>18</v>
      </c>
      <c r="D18" s="3" t="s">
        <v>42</v>
      </c>
      <c r="E18" s="11">
        <v>5083</v>
      </c>
      <c r="F18" s="7">
        <v>3449.63</v>
      </c>
      <c r="G18" s="12">
        <f>ROUND(F18*E18/1000,0)</f>
        <v>17534</v>
      </c>
    </row>
    <row r="19" spans="2:7">
      <c r="B19" s="2" t="s">
        <v>31</v>
      </c>
      <c r="C19" s="2" t="s">
        <v>19</v>
      </c>
      <c r="D19" s="3" t="s">
        <v>42</v>
      </c>
      <c r="E19" s="11">
        <v>1651</v>
      </c>
      <c r="F19" s="7">
        <v>4531.7</v>
      </c>
      <c r="G19" s="12">
        <f>ROUND(F19*E19/1000,0)</f>
        <v>7482</v>
      </c>
    </row>
    <row r="20" spans="2:7">
      <c r="B20" s="2" t="s">
        <v>32</v>
      </c>
      <c r="C20" s="2" t="s">
        <v>20</v>
      </c>
      <c r="D20" s="3" t="s">
        <v>42</v>
      </c>
      <c r="E20" s="11">
        <v>1569</v>
      </c>
      <c r="F20" s="7">
        <v>4673.4</v>
      </c>
      <c r="G20" s="12">
        <f>ROUND(F20*E20/1000,0)</f>
        <v>7333</v>
      </c>
    </row>
    <row r="21" spans="2:7">
      <c r="B21" s="2" t="s">
        <v>40</v>
      </c>
      <c r="C21" s="2" t="s">
        <v>44</v>
      </c>
      <c r="D21" s="2" t="s">
        <v>43</v>
      </c>
      <c r="E21" s="11">
        <v>1576</v>
      </c>
      <c r="F21" s="7">
        <f>6799231/1576</f>
        <v>4314.2328680203045</v>
      </c>
      <c r="G21" s="12">
        <f>ROUND(F21*E21/1000,0)</f>
        <v>6799</v>
      </c>
    </row>
    <row r="22" spans="2:7" s="1" customFormat="1">
      <c r="B22" s="4" t="s">
        <v>33</v>
      </c>
      <c r="C22" s="4"/>
      <c r="D22" s="4"/>
      <c r="E22" s="37">
        <f>SUM(E14:E21)</f>
        <v>22263</v>
      </c>
      <c r="F22" s="38"/>
      <c r="G22" s="39">
        <f>SUM(G14:G21)</f>
        <v>73156</v>
      </c>
    </row>
    <row r="23" spans="2:6">
      <c r="B23" s="8"/>
      <c r="C23" s="8"/>
      <c r="D23" s="8"/>
      <c r="E23" s="9"/>
      <c r="F23" s="8"/>
    </row>
    <row r="25" spans="2:2">
      <c r="B25" t="s">
        <v>57</v>
      </c>
    </row>
    <row r="27" spans="2:6">
      <c r="B27" s="5" t="s">
        <v>21</v>
      </c>
      <c r="C27" s="5" t="s">
        <v>8</v>
      </c>
      <c r="D27" s="5" t="s">
        <v>12</v>
      </c>
      <c r="E27" s="5" t="s">
        <v>33</v>
      </c>
      <c r="F27" s="5" t="s">
        <v>47</v>
      </c>
    </row>
    <row r="28" spans="2:6">
      <c r="B28" s="10"/>
      <c r="C28" s="10" t="s">
        <v>9</v>
      </c>
      <c r="D28" s="10" t="s">
        <v>26</v>
      </c>
      <c r="E28" s="10" t="s">
        <v>46</v>
      </c>
      <c r="F28" s="10" t="s">
        <v>48</v>
      </c>
    </row>
    <row r="29" spans="2:6">
      <c r="B29" s="10"/>
      <c r="C29" s="10"/>
      <c r="D29" s="10" t="s">
        <v>38</v>
      </c>
      <c r="E29" s="10"/>
      <c r="F29" s="10" t="s">
        <v>45</v>
      </c>
    </row>
    <row r="30" spans="2:6">
      <c r="B30" s="6"/>
      <c r="C30" s="6"/>
      <c r="D30" s="6" t="s">
        <v>37</v>
      </c>
      <c r="E30" s="6" t="s">
        <v>37</v>
      </c>
      <c r="F30" s="6"/>
    </row>
    <row r="31" spans="2:6">
      <c r="B31" s="2" t="s">
        <v>22</v>
      </c>
      <c r="C31" s="2">
        <v>81</v>
      </c>
      <c r="D31" s="11">
        <f>ROUND(252.406,0)</f>
        <v>252</v>
      </c>
      <c r="E31" s="2">
        <f>ROUND(602.145,0)</f>
        <v>602</v>
      </c>
      <c r="F31" s="13">
        <f>D31/E31</f>
        <v>0.41860465116279072</v>
      </c>
    </row>
    <row r="32" spans="2:6">
      <c r="B32" s="2" t="s">
        <v>23</v>
      </c>
      <c r="C32" s="2">
        <v>12073</v>
      </c>
      <c r="D32" s="11">
        <f>ROUND(33118.151,0)+1</f>
        <v>33119</v>
      </c>
      <c r="E32" s="2">
        <f>ROUND(48489.323,0)</f>
        <v>48489</v>
      </c>
      <c r="F32" s="13">
        <f>D32/E32</f>
        <v>0.68302089133617938</v>
      </c>
    </row>
    <row r="33" spans="2:6">
      <c r="B33" s="2" t="s">
        <v>24</v>
      </c>
      <c r="C33" s="2">
        <v>7321</v>
      </c>
      <c r="D33" s="11">
        <f>ROUND(28548.235+5952.342,0)+1</f>
        <v>34502</v>
      </c>
      <c r="E33" s="2">
        <f>ROUND(42885.498,0)+1</f>
        <v>42886</v>
      </c>
      <c r="F33" s="13">
        <f>D33/E33</f>
        <v>0.80450496665578508</v>
      </c>
    </row>
    <row r="34" spans="2:6">
      <c r="B34" s="2" t="s">
        <v>25</v>
      </c>
      <c r="C34" s="2">
        <v>1213</v>
      </c>
      <c r="D34" s="11">
        <f>ROUND(846.889+4436.577,0)</f>
        <v>5283</v>
      </c>
      <c r="E34" s="2">
        <f>ROUND(6478.079,0)</f>
        <v>6478</v>
      </c>
      <c r="F34" s="13">
        <f>D34/E34</f>
        <v>0.81552948440876816</v>
      </c>
    </row>
    <row r="35" spans="2:6">
      <c r="B35" s="2"/>
      <c r="C35" s="2"/>
      <c r="D35" s="11">
        <f>SUM(D31:D34)</f>
        <v>73156</v>
      </c>
      <c r="E35" s="11">
        <f>SUM(E31:E34)</f>
        <v>98455</v>
      </c>
      <c r="F35" s="13">
        <f>D35/E35</f>
        <v>0.74303996749784162</v>
      </c>
    </row>
    <row r="37" spans="2:2">
      <c r="B37" t="s">
        <v>34</v>
      </c>
    </row>
    <row r="38" spans="2:2">
      <c r="B38" t="s">
        <v>36</v>
      </c>
    </row>
    <row r="39" spans="2:2">
      <c r="B39" t="s">
        <v>35</v>
      </c>
    </row>
    <row r="41" spans="2:2">
      <c r="B41" t="s">
        <v>58</v>
      </c>
    </row>
    <row r="43" spans="2:9">
      <c r="B43" s="14"/>
      <c r="C43" s="14" t="s">
        <v>49</v>
      </c>
      <c r="D43" s="14" t="s">
        <v>51</v>
      </c>
      <c r="E43" s="14" t="s">
        <v>52</v>
      </c>
      <c r="F43" s="14" t="s">
        <v>54</v>
      </c>
      <c r="G43" s="14" t="s">
        <v>59</v>
      </c>
      <c r="H43" s="14" t="s">
        <v>33</v>
      </c>
      <c r="I43" s="14" t="s">
        <v>47</v>
      </c>
    </row>
    <row r="44" spans="2:9">
      <c r="B44" s="16"/>
      <c r="C44" s="16" t="s">
        <v>50</v>
      </c>
      <c r="D44" s="16" t="s">
        <v>10</v>
      </c>
      <c r="E44" s="16" t="s">
        <v>53</v>
      </c>
      <c r="F44" s="16" t="s">
        <v>55</v>
      </c>
      <c r="G44" s="16" t="s">
        <v>60</v>
      </c>
      <c r="H44" s="16" t="s">
        <v>46</v>
      </c>
      <c r="I44" s="16" t="s">
        <v>48</v>
      </c>
    </row>
    <row r="45" spans="2:9">
      <c r="B45" s="15"/>
      <c r="C45" s="15" t="s">
        <v>37</v>
      </c>
      <c r="D45" s="15" t="s">
        <v>37</v>
      </c>
      <c r="E45" s="15" t="s">
        <v>37</v>
      </c>
      <c r="F45" s="15" t="s">
        <v>37</v>
      </c>
      <c r="G45" s="15" t="s">
        <v>37</v>
      </c>
      <c r="H45" s="15" t="s">
        <v>37</v>
      </c>
      <c r="I45" s="15" t="s">
        <v>45</v>
      </c>
    </row>
    <row r="46" spans="2:9">
      <c r="B46" s="2" t="s">
        <v>22</v>
      </c>
      <c r="C46" s="2">
        <f>ROUND(2.031,0)</f>
        <v>2</v>
      </c>
      <c r="D46" s="2">
        <f>ROUND(2.971,0)</f>
        <v>3</v>
      </c>
      <c r="E46" s="2">
        <v>0</v>
      </c>
      <c r="F46" s="11">
        <f>D31</f>
        <v>252</v>
      </c>
      <c r="G46" s="2">
        <f>SUM(C46:F46)</f>
        <v>257</v>
      </c>
      <c r="H46" s="2">
        <f>E31</f>
        <v>602</v>
      </c>
      <c r="I46" s="17">
        <f>G46/H46</f>
        <v>0.42691029900332228</v>
      </c>
    </row>
    <row r="47" spans="2:9">
      <c r="B47" s="2" t="s">
        <v>23</v>
      </c>
      <c r="C47" s="2">
        <f>ROUND(651.833, 0)</f>
        <v>652</v>
      </c>
      <c r="D47" s="2">
        <f>ROUND(1234.583+565.19,0)</f>
        <v>1800</v>
      </c>
      <c r="E47" s="2">
        <f>ROUND(1052.507,0)</f>
        <v>1053</v>
      </c>
      <c r="F47" s="11">
        <f>D32</f>
        <v>33119</v>
      </c>
      <c r="G47" s="2">
        <f>SUM(C47:F47)</f>
        <v>36624</v>
      </c>
      <c r="H47" s="2">
        <f>E32</f>
        <v>48489</v>
      </c>
      <c r="I47" s="17">
        <f>G47/H47</f>
        <v>0.7553053269813772</v>
      </c>
    </row>
    <row r="48" spans="2:9">
      <c r="B48" s="2" t="s">
        <v>24</v>
      </c>
      <c r="C48" s="2">
        <v>0</v>
      </c>
      <c r="D48" s="2">
        <f>ROUND(1967.522+538.405,0)</f>
        <v>2506</v>
      </c>
      <c r="E48" s="2">
        <f>ROUND(757.266,0)</f>
        <v>757</v>
      </c>
      <c r="F48" s="11">
        <f>D33</f>
        <v>34502</v>
      </c>
      <c r="G48" s="2">
        <f>SUM(C48:F48)</f>
        <v>37765</v>
      </c>
      <c r="H48" s="2">
        <f>E33</f>
        <v>42886</v>
      </c>
      <c r="I48" s="17">
        <f>G48/H48</f>
        <v>0.880590402462342</v>
      </c>
    </row>
    <row r="49" spans="2:9">
      <c r="B49" s="2" t="s">
        <v>25</v>
      </c>
      <c r="C49" s="2">
        <f>ROUND(14.231,0)</f>
        <v>14</v>
      </c>
      <c r="D49" s="2">
        <f>ROUND(173.035,0)</f>
        <v>173</v>
      </c>
      <c r="E49" s="2">
        <f>ROUND(75.592,0)</f>
        <v>76</v>
      </c>
      <c r="F49" s="11">
        <f>D34</f>
        <v>5283</v>
      </c>
      <c r="G49" s="2">
        <f>SUM(C49:F49)</f>
        <v>5546</v>
      </c>
      <c r="H49" s="2">
        <f>E34</f>
        <v>6478</v>
      </c>
      <c r="I49" s="17">
        <f>G49/H49</f>
        <v>0.85612843470206856</v>
      </c>
    </row>
    <row r="50" spans="2:9" s="1" customFormat="1">
      <c r="B50" s="4" t="s">
        <v>33</v>
      </c>
      <c r="C50" s="4">
        <f>SUM(C46:C49)</f>
        <v>668</v>
      </c>
      <c r="D50" s="4">
        <f>SUM(D46:D49)</f>
        <v>4482</v>
      </c>
      <c r="E50" s="4">
        <f>SUM(E46:E49)</f>
        <v>1886</v>
      </c>
      <c r="F50" s="4">
        <f>SUM(F46:F49)</f>
        <v>73156</v>
      </c>
      <c r="G50" s="4">
        <f>SUM(G46:G49)</f>
        <v>80192</v>
      </c>
      <c r="H50" s="4">
        <f>SUM(H46:H49)</f>
        <v>98455</v>
      </c>
      <c r="I50" s="18">
        <f>G50/H50</f>
        <v>0.81450408816210451</v>
      </c>
    </row>
    <row r="52" spans="1:1">
      <c r="A52" t="s">
        <v>62</v>
      </c>
    </row>
    <row r="54" spans="2:9">
      <c r="B54" s="21"/>
      <c r="C54" s="22"/>
      <c r="D54" s="23"/>
      <c r="E54" s="14" t="s">
        <v>13</v>
      </c>
      <c r="F54" s="14" t="s">
        <v>65</v>
      </c>
      <c r="G54" s="14" t="s">
        <v>68</v>
      </c>
      <c r="H54" s="14" t="s">
        <v>67</v>
      </c>
      <c r="I54" s="14" t="s">
        <v>66</v>
      </c>
    </row>
    <row r="55" spans="2:9">
      <c r="B55" s="24"/>
      <c r="C55" s="25"/>
      <c r="D55" s="26"/>
      <c r="E55" s="16"/>
      <c r="F55" s="16"/>
      <c r="G55" s="16"/>
      <c r="H55" s="16" t="s">
        <v>63</v>
      </c>
      <c r="I55" s="16"/>
    </row>
    <row r="56" spans="2:9">
      <c r="B56" s="27"/>
      <c r="C56" s="28"/>
      <c r="D56" s="29"/>
      <c r="E56" s="15" t="s">
        <v>37</v>
      </c>
      <c r="F56" s="15" t="s">
        <v>37</v>
      </c>
      <c r="G56" s="15" t="s">
        <v>37</v>
      </c>
      <c r="H56" s="15" t="s">
        <v>37</v>
      </c>
      <c r="I56" s="15" t="s">
        <v>37</v>
      </c>
    </row>
    <row r="57" spans="2:9">
      <c r="B57" s="30" t="s">
        <v>64</v>
      </c>
      <c r="C57" s="31"/>
      <c r="D57" s="32"/>
      <c r="E57" s="11">
        <f>ROUND(91.461+60.974+144.674,0)</f>
        <v>297</v>
      </c>
      <c r="F57" s="11">
        <f>ROUND(2164.577+1493.863+4100.978,0)</f>
        <v>7759</v>
      </c>
      <c r="G57" s="11">
        <f>ROUND(1067.045+373.466+1132.903,0)</f>
        <v>2573</v>
      </c>
      <c r="H57" s="11">
        <f>ROUND(152.435+53.352+243.998,0)</f>
        <v>450</v>
      </c>
      <c r="I57" s="11">
        <f>SUM(E57:H57)</f>
        <v>11079</v>
      </c>
    </row>
    <row r="58" spans="2:9">
      <c r="B58" s="30" t="s">
        <v>71</v>
      </c>
      <c r="C58" s="31"/>
      <c r="D58" s="32"/>
      <c r="E58" s="11">
        <f>ROUND(4.789+0+0+0+0+11.907,0)</f>
        <v>17</v>
      </c>
      <c r="F58" s="11">
        <f>ROUND(647.902+22.5+6.5+37.6+103+1412.273,0)</f>
        <v>2230</v>
      </c>
      <c r="G58" s="11">
        <f>ROUND(760.702+0+2+6.4+44+1525.431,0)</f>
        <v>2339</v>
      </c>
      <c r="H58" s="11">
        <f>ROUND(127.063+0+1+0.8+0+272.136,0)</f>
        <v>401</v>
      </c>
      <c r="I58" s="11">
        <f>SUM(E58:H58)</f>
        <v>4987</v>
      </c>
    </row>
    <row r="59" spans="2:9">
      <c r="B59" s="30" t="s">
        <v>72</v>
      </c>
      <c r="C59" s="31"/>
      <c r="D59" s="32"/>
      <c r="E59" s="11">
        <v>0</v>
      </c>
      <c r="F59" s="11">
        <f>ROUND(824.583,0)</f>
        <v>825</v>
      </c>
      <c r="G59" s="11">
        <v>0</v>
      </c>
      <c r="H59" s="11">
        <v>0</v>
      </c>
      <c r="I59" s="11">
        <f>SUM(E59:H59)</f>
        <v>825</v>
      </c>
    </row>
    <row r="60" spans="2:9">
      <c r="B60" s="30" t="s">
        <v>73</v>
      </c>
      <c r="C60" s="31"/>
      <c r="D60" s="32"/>
      <c r="E60" s="11">
        <v>0</v>
      </c>
      <c r="F60" s="11">
        <f>ROUND(289.205,0)</f>
        <v>289</v>
      </c>
      <c r="G60" s="11">
        <v>0</v>
      </c>
      <c r="H60" s="11">
        <v>0</v>
      </c>
      <c r="I60" s="11">
        <f>SUM(E60:H60)</f>
        <v>289</v>
      </c>
    </row>
    <row r="61" spans="2:9">
      <c r="B61" s="30" t="s">
        <v>70</v>
      </c>
      <c r="C61" s="31"/>
      <c r="D61" s="32"/>
      <c r="E61" s="11">
        <f>ROUND(2.5+5.5+8.8+2.7+3.98+1.32+5.692+0+0.44,0)</f>
        <v>31</v>
      </c>
      <c r="F61" s="11">
        <f>ROUND(55+121+193.6+59.4+87.56+29.04+125.224+0+9.68,0)</f>
        <v>681</v>
      </c>
      <c r="G61" s="11">
        <f>ROUND(13.93+32.55+55.3+29.4+13.93+4.62+19.922+10.92+14.21,0)</f>
        <v>195</v>
      </c>
      <c r="H61" s="11">
        <f>ROUND(1.99+4.65+7.9+4.2+1.99+0.66+2.846+1.56+2.03,0)</f>
        <v>28</v>
      </c>
      <c r="I61" s="11">
        <f>SUM(E61:H61)</f>
        <v>935</v>
      </c>
    </row>
    <row r="62" spans="2:9">
      <c r="B62" s="33" t="s">
        <v>69</v>
      </c>
      <c r="C62" s="31"/>
      <c r="D62" s="32"/>
      <c r="E62" s="11">
        <f>H46-G46-E61-E58-E57-E59-E60</f>
        <v>0</v>
      </c>
      <c r="F62" s="11">
        <f>H47-G47-F57-F58-F61-F59-F60</f>
        <v>81</v>
      </c>
      <c r="G62" s="11">
        <f>H48-G48-G57-G58-G59-G60-G61</f>
        <v>14</v>
      </c>
      <c r="H62" s="11">
        <f>H49-G49-H57-H58-H59-H60-H61</f>
        <v>53</v>
      </c>
      <c r="I62" s="11">
        <f>SUM(E62:H62)</f>
        <v>148</v>
      </c>
    </row>
    <row r="63" spans="2:9" s="1" customFormat="1">
      <c r="B63" s="34" t="s">
        <v>33</v>
      </c>
      <c r="C63" s="35"/>
      <c r="D63" s="36"/>
      <c r="E63" s="37">
        <f>SUM(E57:E62)</f>
        <v>345</v>
      </c>
      <c r="F63" s="37">
        <f>SUM(F57:F62)</f>
        <v>11865</v>
      </c>
      <c r="G63" s="37">
        <f>SUM(G57:G62)</f>
        <v>5121</v>
      </c>
      <c r="H63" s="37">
        <f>SUM(H57:H62)</f>
        <v>932</v>
      </c>
      <c r="I63" s="37">
        <f>SUM(I57:I62)</f>
        <v>18263</v>
      </c>
    </row>
    <row r="66" spans="1:1">
      <c r="A66" s="1" t="s">
        <v>75</v>
      </c>
    </row>
    <row r="68" spans="1:1" s="20" customFormat="1">
      <c r="A68" s="19" t="s">
        <v>82</v>
      </c>
    </row>
    <row r="69" spans="2:2">
      <c r="B69" t="s">
        <v>83</v>
      </c>
    </row>
    <row r="72" spans="2:5">
      <c r="B72" s="5" t="s">
        <v>76</v>
      </c>
      <c r="C72" s="5" t="s">
        <v>8</v>
      </c>
      <c r="D72" s="5" t="s">
        <v>10</v>
      </c>
      <c r="E72" s="5" t="s">
        <v>12</v>
      </c>
    </row>
    <row r="73" spans="2:5">
      <c r="B73" s="10"/>
      <c r="C73" s="10" t="s">
        <v>9</v>
      </c>
      <c r="D73" s="10" t="s">
        <v>11</v>
      </c>
      <c r="E73" s="10" t="s">
        <v>26</v>
      </c>
    </row>
    <row r="74" spans="2:5">
      <c r="B74" s="6"/>
      <c r="C74" s="6"/>
      <c r="D74" s="6"/>
      <c r="E74" s="6" t="s">
        <v>37</v>
      </c>
    </row>
    <row r="75" spans="2:5">
      <c r="B75" s="2" t="s">
        <v>77</v>
      </c>
      <c r="C75" s="11">
        <v>0</v>
      </c>
      <c r="D75" s="7">
        <v>13126.63</v>
      </c>
      <c r="E75" s="12">
        <f>D75*C75/1000</f>
        <v>0</v>
      </c>
    </row>
    <row r="76" spans="2:5">
      <c r="B76" s="2" t="s">
        <v>78</v>
      </c>
      <c r="C76" s="11">
        <v>88.5</v>
      </c>
      <c r="D76" s="7">
        <v>15607.59</v>
      </c>
      <c r="E76" s="12">
        <f>D76*C76/1000</f>
        <v>1381.271715</v>
      </c>
    </row>
    <row r="77" spans="2:5">
      <c r="B77" s="2" t="s">
        <v>79</v>
      </c>
      <c r="C77" s="53">
        <v>207.4</v>
      </c>
      <c r="D77" s="7">
        <v>27517.56</v>
      </c>
      <c r="E77" s="12">
        <f>D77*C77/1000</f>
        <v>5707.141944</v>
      </c>
    </row>
    <row r="78" spans="2:5">
      <c r="B78" s="2" t="s">
        <v>80</v>
      </c>
      <c r="C78" s="11">
        <v>57.6</v>
      </c>
      <c r="D78" s="7">
        <v>36451.67</v>
      </c>
      <c r="E78" s="12">
        <f>D78*C78/1000</f>
        <v>2099.616192</v>
      </c>
    </row>
    <row r="79" spans="2:5">
      <c r="B79" s="2" t="s">
        <v>81</v>
      </c>
      <c r="C79" s="11">
        <v>10.3</v>
      </c>
      <c r="D79" s="7">
        <v>61515.38</v>
      </c>
      <c r="E79" s="12">
        <f>D79*C79/1000</f>
        <v>633.608414</v>
      </c>
    </row>
    <row r="80" spans="2:5" s="1" customFormat="1">
      <c r="B80" s="4" t="s">
        <v>33</v>
      </c>
      <c r="C80" s="37">
        <f>SUM(C75:C79)</f>
        <v>363.8</v>
      </c>
      <c r="D80" s="38"/>
      <c r="E80" s="39">
        <f>SUM(E75:E79)</f>
        <v>9821.638265</v>
      </c>
    </row>
    <row r="82" spans="2:2">
      <c r="B82" t="s">
        <v>85</v>
      </c>
    </row>
    <row r="84" spans="2:3">
      <c r="B84" s="5" t="s">
        <v>84</v>
      </c>
      <c r="C84" s="5" t="s">
        <v>12</v>
      </c>
    </row>
    <row r="85" spans="2:3">
      <c r="B85" s="10"/>
      <c r="C85" s="10" t="s">
        <v>26</v>
      </c>
    </row>
    <row r="86" spans="2:3">
      <c r="B86" s="6"/>
      <c r="C86" s="6" t="s">
        <v>37</v>
      </c>
    </row>
    <row r="87" spans="2:3">
      <c r="B87" s="2" t="s">
        <v>90</v>
      </c>
      <c r="C87" s="11">
        <v>388.88</v>
      </c>
    </row>
    <row r="88" spans="2:3">
      <c r="B88" s="2" t="s">
        <v>86</v>
      </c>
      <c r="C88" s="11">
        <v>931.36</v>
      </c>
    </row>
    <row r="89" spans="2:3">
      <c r="B89" s="2" t="s">
        <v>87</v>
      </c>
      <c r="C89" s="11">
        <v>123.6</v>
      </c>
    </row>
    <row r="90" spans="2:3">
      <c r="B90" s="2" t="s">
        <v>88</v>
      </c>
      <c r="C90" s="11">
        <v>203.929</v>
      </c>
    </row>
    <row r="91" spans="2:3">
      <c r="B91" s="2" t="s">
        <v>89</v>
      </c>
      <c r="C91" s="11">
        <v>162.793</v>
      </c>
    </row>
    <row r="92" spans="2:3">
      <c r="B92" s="4" t="s">
        <v>33</v>
      </c>
      <c r="C92" s="37">
        <f>SUM(C87:C91)</f>
        <v>1810.562</v>
      </c>
    </row>
    <row r="94" spans="2:3">
      <c r="B94" t="s">
        <v>91</v>
      </c>
      <c r="C94" s="40">
        <v>78043</v>
      </c>
    </row>
    <row r="97" spans="1:1">
      <c r="A97" t="s">
        <v>92</v>
      </c>
    </row>
    <row r="99" spans="2:5">
      <c r="B99" s="41" t="s">
        <v>84</v>
      </c>
      <c r="C99" s="45"/>
      <c r="D99" s="48"/>
      <c r="E99" s="5" t="s">
        <v>12</v>
      </c>
    </row>
    <row r="100" spans="2:5">
      <c r="B100" s="42"/>
      <c r="C100" s="46"/>
      <c r="D100" s="49"/>
      <c r="E100" s="10" t="s">
        <v>26</v>
      </c>
    </row>
    <row r="101" spans="2:5">
      <c r="B101" s="43"/>
      <c r="C101" s="47"/>
      <c r="D101" s="50"/>
      <c r="E101" s="6" t="s">
        <v>37</v>
      </c>
    </row>
    <row r="102" spans="2:5">
      <c r="B102" s="44" t="s">
        <v>93</v>
      </c>
      <c r="C102" s="31"/>
      <c r="D102" s="51"/>
      <c r="E102" s="11">
        <f>ROUND(232.232+235.226+53.56,0)+1</f>
        <v>522</v>
      </c>
    </row>
    <row r="103" spans="2:5">
      <c r="B103" s="30" t="s">
        <v>71</v>
      </c>
      <c r="C103" s="31"/>
      <c r="D103" s="51"/>
      <c r="E103" s="11">
        <f>ROUND(123.6+123.6+147.058,0)</f>
        <v>394</v>
      </c>
    </row>
    <row r="104" spans="2:5">
      <c r="B104" s="30" t="s">
        <v>70</v>
      </c>
      <c r="C104" s="31"/>
      <c r="D104" s="51"/>
      <c r="E104" s="11">
        <f>ROUND(15.366,0)</f>
        <v>15</v>
      </c>
    </row>
    <row r="105" spans="2:5">
      <c r="B105" s="30" t="s">
        <v>96</v>
      </c>
      <c r="C105" s="31"/>
      <c r="D105" s="51"/>
      <c r="E105" s="11">
        <f>ROUND(659.818,0)-5</f>
        <v>655</v>
      </c>
    </row>
    <row r="106" spans="2:5">
      <c r="B106" s="34" t="s">
        <v>33</v>
      </c>
      <c r="C106" s="31"/>
      <c r="D106" s="52"/>
      <c r="E106" s="37">
        <f>SUM(E102:E105)</f>
        <v>1586</v>
      </c>
    </row>
    <row r="108" spans="1:1">
      <c r="A108" t="s">
        <v>94</v>
      </c>
    </row>
    <row r="110" spans="2:3">
      <c r="B110" s="5" t="s">
        <v>84</v>
      </c>
      <c r="C110" s="5" t="s">
        <v>12</v>
      </c>
    </row>
    <row r="111" spans="2:3">
      <c r="B111" s="10"/>
      <c r="C111" s="10" t="s">
        <v>26</v>
      </c>
    </row>
    <row r="112" spans="2:3">
      <c r="B112" s="6"/>
      <c r="C112" s="6" t="s">
        <v>37</v>
      </c>
    </row>
    <row r="113" spans="2:3">
      <c r="B113" s="2" t="s">
        <v>95</v>
      </c>
      <c r="C113" s="11">
        <f>E80</f>
        <v>9821.638265</v>
      </c>
    </row>
    <row r="114" spans="2:3">
      <c r="B114" s="2" t="s">
        <v>97</v>
      </c>
      <c r="C114" s="11">
        <f>C92</f>
        <v>1810.562</v>
      </c>
    </row>
    <row r="115" spans="2:3">
      <c r="B115" s="2" t="s">
        <v>98</v>
      </c>
      <c r="C115" s="11">
        <f>C94/1000</f>
        <v>78.043</v>
      </c>
    </row>
    <row r="116" spans="2:3" s="1" customFormat="1">
      <c r="B116" s="4" t="s">
        <v>99</v>
      </c>
      <c r="C116" s="37">
        <f>SUM(C113:C115)</f>
        <v>11710.243265</v>
      </c>
    </row>
    <row r="117" spans="2:3">
      <c r="B117" s="2" t="s">
        <v>100</v>
      </c>
      <c r="C117" s="11">
        <f>E106</f>
        <v>1586</v>
      </c>
    </row>
    <row r="118" spans="2:3">
      <c r="B118" s="4" t="s">
        <v>33</v>
      </c>
      <c r="C118" s="37">
        <f>C117+C116</f>
        <v>13296.243265</v>
      </c>
    </row>
  </sheetData>
  <pageMargins left="0.16" right="0.16" top="0.43" bottom="0.75" header="0.3" footer="0.3"/>
  <pageSetup paperSize="9" scale="77" fitToHeight="0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Monckton, Nicola</dc:creator>
  <cp:keywords/>
  <cp:lastModifiedBy>Harriet Kirby</cp:lastModifiedBy>
  <dcterms:created xsi:type="dcterms:W3CDTF">2022-06-16T14:23:30Z</dcterms:created>
  <dcterms:modified xsi:type="dcterms:W3CDTF">2022-06-22T09:15:16Z</dcterms:modified>
  <dc:subject/>
  <cp:lastPrinted>2022-06-16T16:06:58Z</cp:lastPrinted>
  <dc:title>Section 52 budget 2022-23 part 2 VOGC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