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codeName="ThisWorkbook" defaultThemeVersion="124226"/>
  <bookViews>
    <workbookView xWindow="120" yWindow="72" windowWidth="15240" windowHeight="7992"/>
  </bookViews>
  <sheets>
    <sheet name="Sheet1" sheetId="1" r:id="rId1"/>
    <sheet name="Sheet2" sheetId="2" r:id="rId2"/>
    <sheet name="Sheet3" sheetId="3" r:id="rId3"/>
  </sheets>
  <calcPr fullPrecision="1" calcId="145621"/>
</workbook>
</file>

<file path=xl/sharedStrings.xml><?xml version="1.0" encoding="utf-8"?>
<sst xmlns="http://schemas.openxmlformats.org/spreadsheetml/2006/main" uniqueCount="118" count="301">
  <si>
    <t>Vale of Glamorgan Council</t>
  </si>
  <si>
    <t>LEA:673</t>
  </si>
  <si>
    <t>Part 2: Individual Schools Budget - Funding Factors</t>
  </si>
  <si>
    <t>Nursery, Primary &amp; Secondary Schools</t>
  </si>
  <si>
    <t>I) Pupil-led Funding</t>
  </si>
  <si>
    <t>Age Weighted funding</t>
  </si>
  <si>
    <t xml:space="preserve">Age </t>
  </si>
  <si>
    <t>Pupil</t>
  </si>
  <si>
    <t>Funding</t>
  </si>
  <si>
    <t>Funds</t>
  </si>
  <si>
    <t>% of Nurs.,Pri.</t>
  </si>
  <si>
    <t>Range</t>
  </si>
  <si>
    <t>Numbers</t>
  </si>
  <si>
    <t>Per Pupil</t>
  </si>
  <si>
    <t>Allocated</t>
  </si>
  <si>
    <t>&amp; Secondary</t>
  </si>
  <si>
    <t>£</t>
  </si>
  <si>
    <t>£000s</t>
  </si>
  <si>
    <t>Schools budgets</t>
  </si>
  <si>
    <t>Totals</t>
  </si>
  <si>
    <t>Nursery Sch.</t>
  </si>
  <si>
    <t>Primary</t>
  </si>
  <si>
    <t>Secondary</t>
  </si>
  <si>
    <t>Total</t>
  </si>
  <si>
    <t>Secondary Post 16</t>
  </si>
  <si>
    <t>Pupil-led SEN Funding</t>
  </si>
  <si>
    <t>Non-Statemented</t>
  </si>
  <si>
    <t>Nursery Sch</t>
  </si>
  <si>
    <t>Statemented</t>
  </si>
  <si>
    <t>The pupil data relates to the rolling three year average of those pupils in receipt of free meals.</t>
  </si>
  <si>
    <t>Place-led SEN Funding treated as Pupil-led</t>
  </si>
  <si>
    <t>Place</t>
  </si>
  <si>
    <t>% of Primary</t>
  </si>
  <si>
    <t>ASS.</t>
  </si>
  <si>
    <t>MLD</t>
  </si>
  <si>
    <t>EBD</t>
  </si>
  <si>
    <t>Total Primary &amp; Secondary SEN</t>
  </si>
  <si>
    <t>Total Primary &amp; Secondary funds allocated according to pupil numbers or places counted as pupil-led</t>
  </si>
  <si>
    <t>(Excluding Foundation Phase)</t>
  </si>
  <si>
    <t>ii) Other Funding</t>
  </si>
  <si>
    <t>Management</t>
  </si>
  <si>
    <t>Building</t>
  </si>
  <si>
    <t>Other</t>
  </si>
  <si>
    <t>Small School</t>
  </si>
  <si>
    <t>Rates</t>
  </si>
  <si>
    <t>Grounds</t>
  </si>
  <si>
    <t>Additional Needs</t>
  </si>
  <si>
    <t>Grants Transferred</t>
  </si>
  <si>
    <t>Lump Sums</t>
  </si>
  <si>
    <t>Curriculum Protection</t>
  </si>
  <si>
    <t>Rental of Premises</t>
  </si>
  <si>
    <t>Translation</t>
  </si>
  <si>
    <t>Mobility</t>
  </si>
  <si>
    <t>Amalgamation</t>
  </si>
  <si>
    <t>Split Site</t>
  </si>
  <si>
    <t>Recharges</t>
  </si>
  <si>
    <t>Hire of Premises</t>
  </si>
  <si>
    <t>Pool</t>
  </si>
  <si>
    <t>Deprivation</t>
  </si>
  <si>
    <t>Pupils with PD</t>
  </si>
  <si>
    <t>Free Meal</t>
  </si>
  <si>
    <t>SEN LSAs</t>
  </si>
  <si>
    <t>Insurance</t>
  </si>
  <si>
    <t>Workload Allocations</t>
  </si>
  <si>
    <t>Total Nursery, Primary &amp; Secondary funds allocated for other factors</t>
  </si>
  <si>
    <t>Total funds allocated to Nursery, Primary &amp; Secondary Schools</t>
  </si>
  <si>
    <t>Special Schools</t>
  </si>
  <si>
    <t>i) Place/Pupil-led funding</t>
  </si>
  <si>
    <t>Day</t>
  </si>
  <si>
    <t>Category</t>
  </si>
  <si>
    <t>Per Place</t>
  </si>
  <si>
    <t>PMLD</t>
  </si>
  <si>
    <t>Additional for Residential</t>
  </si>
  <si>
    <t>Total Place-led</t>
  </si>
  <si>
    <t>ii) Other factors</t>
  </si>
  <si>
    <t>Additional Support</t>
  </si>
  <si>
    <t>Energy</t>
  </si>
  <si>
    <t>Speech &amp; Language Therapists</t>
  </si>
  <si>
    <t>Integration - specific place</t>
  </si>
  <si>
    <t>Outreach</t>
  </si>
  <si>
    <t>Specific Teach. Programme</t>
  </si>
  <si>
    <t>Specialist Equipment</t>
  </si>
  <si>
    <t>Family Group Meals</t>
  </si>
  <si>
    <t>Workload</t>
  </si>
  <si>
    <t>Total funds allocated to special schools</t>
  </si>
  <si>
    <t>3c. Total funds allocated to all schools (Individual Schools Budget)</t>
  </si>
  <si>
    <t>NLNT&lt;85</t>
  </si>
  <si>
    <t>2016-17 Section 52 Budget Statement</t>
  </si>
  <si>
    <t>The pupil numbers are calculated by taking all the actual numbers on roll as at January 2016,</t>
  </si>
  <si>
    <t>deducting half the forecast for January 2016 (made in January 2015) and</t>
  </si>
  <si>
    <t>adding half the forecast for January 2017 (made in January 2016).</t>
  </si>
  <si>
    <t>Client Catering</t>
  </si>
  <si>
    <t>N Sch. 2-4</t>
  </si>
  <si>
    <t xml:space="preserve"> Prim '2-4  </t>
  </si>
  <si>
    <t xml:space="preserve">Prim '4-5  </t>
  </si>
  <si>
    <t xml:space="preserve">Prim '5-7  </t>
  </si>
  <si>
    <t>Sec '11-14</t>
  </si>
  <si>
    <t>Sec '14-15</t>
  </si>
  <si>
    <t>Sec '15-16</t>
  </si>
  <si>
    <t xml:space="preserve">Midd Scl '2-4  </t>
  </si>
  <si>
    <t xml:space="preserve">Midd Scl '4-5  </t>
  </si>
  <si>
    <t xml:space="preserve">Midd Scl '5-7  </t>
  </si>
  <si>
    <t xml:space="preserve">Midd Scl '7-10  </t>
  </si>
  <si>
    <t xml:space="preserve">Midd Scl '10-11  </t>
  </si>
  <si>
    <t>Midd Scl '11-14</t>
  </si>
  <si>
    <t>Midd Scl '14-15</t>
  </si>
  <si>
    <t>Midd Scl '15-16</t>
  </si>
  <si>
    <t xml:space="preserve">Prim '7-10  </t>
  </si>
  <si>
    <t xml:space="preserve">Prim '10-11  </t>
  </si>
  <si>
    <t>Middle</t>
  </si>
  <si>
    <t>Middle School Post 16</t>
  </si>
  <si>
    <t>Early Intervention Resource Base</t>
  </si>
  <si>
    <t>Special Resource Base (St Illtyds)</t>
  </si>
  <si>
    <t>Resource Bases</t>
  </si>
  <si>
    <t>Management (Head $ Deputy, Admin and Caretaker)</t>
  </si>
  <si>
    <t>Floor Area/Premises</t>
  </si>
  <si>
    <t>Residential additonal</t>
  </si>
  <si>
    <t>ASD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</si>
</sst>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6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00000000000"/>
  </numFmts>
  <fonts count="3">
    <font>
      <sz val="8"/>
      <color theme="1"/>
      <name val="Calibri"/>
      <family val="2"/>
      <charset val="0"/>
      <scheme val="minor"/>
    </font>
    <font>
      <b/>
      <sz val="8"/>
      <name val="Arial"/>
      <family val="2"/>
      <charset val="0"/>
    </font>
    <font>
      <sz val="8"/>
      <name val="Arial"/>
      <family val="2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0">
    <xf numFmtId="0" fontId="0" fillId="0" borderId="0"/>
    <xf numFmtId="43" fontId="0" fillId="0" borderId="0" applyAlignment="0" applyBorder="0" applyFont="0" applyFill="0" applyProtection="0"/>
    <xf numFmtId="9" fontId="0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Alignment="1" applyBorder="1" applyFont="1">
      <alignment horizontal="center"/>
    </xf>
    <xf numFmtId="0" fontId="2" fillId="0" borderId="2" xfId="0" applyAlignment="1" applyBorder="1" applyFont="1">
      <alignment horizontal="center"/>
    </xf>
    <xf numFmtId="0" fontId="2" fillId="0" borderId="3" xfId="0" applyAlignment="1" applyBorder="1" applyFont="1">
      <alignment horizontal="center"/>
    </xf>
    <xf numFmtId="0" fontId="2" fillId="0" borderId="0" xfId="0" applyAlignment="1" applyBorder="1" applyFont="1">
      <alignment horizontal="center"/>
    </xf>
    <xf numFmtId="0" fontId="2" fillId="0" borderId="4" xfId="0" applyAlignment="1" applyBorder="1" applyFont="1">
      <alignment horizontal="center"/>
    </xf>
    <xf numFmtId="0" fontId="2" fillId="0" borderId="5" xfId="0" applyAlignment="1" applyBorder="1" applyFont="1">
      <alignment horizontal="center"/>
    </xf>
    <xf numFmtId="43" fontId="2" fillId="0" borderId="0" xfId="0" applyAlignment="1" applyBorder="1" applyFont="1" applyNumberFormat="1">
      <alignment horizontal="center"/>
    </xf>
    <xf numFmtId="164" fontId="2" fillId="0" borderId="0" xfId="1" applyFont="1" applyNumberFormat="1"/>
    <xf numFmtId="4" fontId="2" fillId="0" borderId="3" xfId="0" applyAlignment="1" applyBorder="1" applyFont="1" applyNumberFormat="1" quotePrefix="1">
      <alignment horizontal="left"/>
    </xf>
    <xf numFmtId="43" fontId="2" fillId="0" borderId="0" xfId="0" applyFont="1" applyNumberFormat="1"/>
    <xf numFmtId="43" fontId="2" fillId="0" borderId="3" xfId="1" applyBorder="1" applyFont="1" applyNumberFormat="1"/>
    <xf numFmtId="0" fontId="2" fillId="2" borderId="3" xfId="0" applyBorder="1" applyFont="1" applyFill="1"/>
    <xf numFmtId="0" fontId="2" fillId="0" borderId="3" xfId="0" applyAlignment="1" applyBorder="1" applyFont="1" quotePrefix="1">
      <alignment horizontal="left"/>
    </xf>
    <xf numFmtId="0" fontId="2" fillId="0" borderId="4" xfId="0" applyAlignment="1" applyBorder="1" applyFont="1" quotePrefix="1">
      <alignment horizontal="left"/>
    </xf>
    <xf numFmtId="43" fontId="2" fillId="0" borderId="4" xfId="1" applyBorder="1" applyFont="1" applyNumberFormat="1"/>
    <xf numFmtId="0" fontId="1" fillId="0" borderId="1" xfId="0" applyBorder="1" applyFont="1"/>
    <xf numFmtId="0" fontId="2" fillId="2" borderId="0" xfId="0" applyAlignment="1" applyBorder="1" applyFont="1" applyFill="1">
      <alignment horizontal="left"/>
    </xf>
    <xf numFmtId="43" fontId="1" fillId="0" borderId="6" xfId="0" applyBorder="1" applyFont="1" applyNumberFormat="1"/>
    <xf numFmtId="0" fontId="1" fillId="2" borderId="6" xfId="0" applyBorder="1" applyFont="1" applyFill="1"/>
    <xf numFmtId="9" fontId="1" fillId="0" borderId="1" xfId="2" applyBorder="1" applyFont="1" applyNumberFormat="1" applyFill="1"/>
    <xf numFmtId="0" fontId="1" fillId="0" borderId="3" xfId="0" applyBorder="1" applyFont="1"/>
    <xf numFmtId="0" fontId="1" fillId="2" borderId="0" xfId="0" applyBorder="1" applyFont="1" applyFill="1"/>
    <xf numFmtId="43" fontId="1" fillId="0" borderId="7" xfId="0" applyBorder="1" applyFont="1" applyNumberFormat="1"/>
    <xf numFmtId="0" fontId="1" fillId="2" borderId="7" xfId="0" applyBorder="1" applyFont="1" applyFill="1"/>
    <xf numFmtId="9" fontId="1" fillId="0" borderId="3" xfId="2" applyBorder="1" applyFont="1" applyNumberFormat="1"/>
    <xf numFmtId="0" fontId="1" fillId="0" borderId="4" xfId="0" applyBorder="1" applyFont="1"/>
    <xf numFmtId="43" fontId="1" fillId="0" borderId="8" xfId="0" applyBorder="1" applyFont="1" applyNumberFormat="1"/>
    <xf numFmtId="9" fontId="1" fillId="0" borderId="4" xfId="2" applyBorder="1" applyFont="1" applyNumberFormat="1"/>
    <xf numFmtId="0" fontId="1" fillId="0" borderId="8" xfId="0" applyBorder="1" applyFont="1"/>
    <xf numFmtId="0" fontId="1" fillId="2" borderId="8" xfId="0" applyBorder="1" applyFont="1" applyFill="1"/>
    <xf numFmtId="0" fontId="1" fillId="2" borderId="4" xfId="0" applyBorder="1" applyFont="1" applyFill="1"/>
    <xf numFmtId="164" fontId="1" fillId="0" borderId="5" xfId="1" applyBorder="1" applyFont="1" applyNumberFormat="1"/>
    <xf numFmtId="0" fontId="1" fillId="0" borderId="9" xfId="0" applyBorder="1" applyFont="1" applyFill="1"/>
    <xf numFmtId="0" fontId="2" fillId="0" borderId="10" xfId="0" applyBorder="1" applyFont="1"/>
    <xf numFmtId="0" fontId="2" fillId="0" borderId="11" xfId="0" applyBorder="1" applyFont="1"/>
    <xf numFmtId="164" fontId="1" fillId="0" borderId="12" xfId="1" applyBorder="1" applyFont="1" applyNumberFormat="1"/>
    <xf numFmtId="0" fontId="2" fillId="0" borderId="6" xfId="0" applyAlignment="1" applyBorder="1" applyFont="1">
      <alignment horizontal="center"/>
    </xf>
    <xf numFmtId="0" fontId="2" fillId="0" borderId="7" xfId="0" applyAlignment="1" applyBorder="1" applyFont="1">
      <alignment horizontal="center"/>
    </xf>
    <xf numFmtId="0" fontId="2" fillId="0" borderId="8" xfId="0" applyAlignment="1" applyBorder="1" applyFont="1">
      <alignment horizontal="center"/>
    </xf>
    <xf numFmtId="0" fontId="2" fillId="0" borderId="6" xfId="0" applyBorder="1" applyFont="1"/>
    <xf numFmtId="0" fontId="2" fillId="0" borderId="13" xfId="0" applyBorder="1" applyFont="1"/>
    <xf numFmtId="164" fontId="2" fillId="0" borderId="0" xfId="1" applyBorder="1" applyFont="1" applyNumberFormat="1"/>
    <xf numFmtId="0" fontId="2" fillId="0" borderId="7" xfId="0" applyBorder="1" applyFont="1"/>
    <xf numFmtId="0" fontId="2" fillId="0" borderId="14" xfId="0" applyBorder="1" applyFont="1"/>
    <xf numFmtId="43" fontId="2" fillId="0" borderId="0" xfId="0" applyBorder="1" applyFont="1" applyNumberFormat="1"/>
    <xf numFmtId="0" fontId="2" fillId="0" borderId="8" xfId="0" applyBorder="1" applyFont="1"/>
    <xf numFmtId="0" fontId="2" fillId="0" borderId="15" xfId="0" applyBorder="1" applyFont="1"/>
    <xf numFmtId="164" fontId="2" fillId="0" borderId="5" xfId="1" applyBorder="1" applyFont="1" applyNumberFormat="1"/>
    <xf numFmtId="0" fontId="1" fillId="0" borderId="9" xfId="0" applyBorder="1" applyFont="1"/>
    <xf numFmtId="0" fontId="1" fillId="0" borderId="11" xfId="0" applyBorder="1" applyFont="1"/>
    <xf numFmtId="43" fontId="1" fillId="0" borderId="12" xfId="0" applyBorder="1" applyFont="1" applyNumberFormat="1"/>
    <xf numFmtId="43" fontId="1" fillId="2" borderId="12" xfId="0" applyBorder="1" applyFont="1" applyNumberFormat="1" applyFill="1"/>
    <xf numFmtId="0" fontId="2" fillId="0" borderId="13" xfId="0" applyAlignment="1" applyBorder="1" applyFont="1">
      <alignment horizontal="center"/>
    </xf>
    <xf numFmtId="0" fontId="2" fillId="0" borderId="14" xfId="0" applyAlignment="1" applyBorder="1" applyFont="1">
      <alignment horizontal="center"/>
    </xf>
    <xf numFmtId="0" fontId="2" fillId="0" borderId="15" xfId="0" applyAlignment="1" applyBorder="1" applyFont="1">
      <alignment horizontal="center"/>
    </xf>
    <xf numFmtId="0" fontId="2" fillId="0" borderId="2" xfId="0" applyBorder="1" applyFont="1"/>
    <xf numFmtId="43" fontId="2" fillId="0" borderId="3" xfId="1" applyAlignment="1" applyBorder="1" applyFont="1" applyNumberFormat="1">
      <alignment horizontal="right"/>
    </xf>
    <xf numFmtId="9" fontId="2" fillId="0" borderId="14" xfId="2" applyAlignment="1" applyBorder="1" applyFont="1" applyNumberFormat="1">
      <alignment horizontal="right"/>
    </xf>
    <xf numFmtId="0" fontId="2" fillId="0" borderId="0" xfId="0" applyBorder="1" applyFont="1"/>
    <xf numFmtId="43" fontId="2" fillId="0" borderId="3" xfId="0" applyBorder="1" applyFont="1" applyNumberFormat="1"/>
    <xf numFmtId="43" fontId="2" fillId="0" borderId="0" xfId="1" applyBorder="1" applyFont="1" applyNumberFormat="1"/>
    <xf numFmtId="0" fontId="2" fillId="0" borderId="5" xfId="0" applyBorder="1" applyFont="1"/>
    <xf numFmtId="43" fontId="2" fillId="0" borderId="4" xfId="0" applyBorder="1" applyFont="1" applyNumberFormat="1"/>
    <xf numFmtId="9" fontId="2" fillId="0" borderId="15" xfId="2" applyBorder="1" applyFont="1" applyNumberFormat="1"/>
    <xf numFmtId="164" fontId="2" fillId="0" borderId="2" xfId="1" applyAlignment="1" applyBorder="1" applyFont="1" applyNumberFormat="1">
      <alignment horizontal="center"/>
    </xf>
    <xf numFmtId="164" fontId="2" fillId="0" borderId="0" xfId="1" applyAlignment="1" applyBorder="1" applyFont="1" applyNumberFormat="1">
      <alignment horizontal="center"/>
    </xf>
    <xf numFmtId="43" fontId="2" fillId="0" borderId="1" xfId="0" applyBorder="1" applyFont="1" applyNumberFormat="1"/>
    <xf numFmtId="43" fontId="2" fillId="0" borderId="2" xfId="1" applyBorder="1" applyFont="1" applyNumberFormat="1"/>
    <xf numFmtId="164" fontId="2" fillId="0" borderId="1" xfId="1" applyBorder="1" applyFont="1" applyNumberFormat="1"/>
    <xf numFmtId="0" fontId="2" fillId="2" borderId="13" xfId="0" applyBorder="1" applyFont="1" applyFill="1"/>
    <xf numFmtId="164" fontId="2" fillId="0" borderId="3" xfId="1" applyBorder="1" applyFont="1" applyNumberFormat="1"/>
    <xf numFmtId="0" fontId="2" fillId="2" borderId="14" xfId="0" applyBorder="1" applyFont="1" applyFill="1"/>
    <xf numFmtId="164" fontId="2" fillId="0" borderId="4" xfId="1" applyBorder="1" applyFont="1" applyNumberFormat="1"/>
    <xf numFmtId="0" fontId="1" fillId="2" borderId="10" xfId="0" applyBorder="1" applyFont="1" applyFill="1"/>
    <xf numFmtId="43" fontId="2" fillId="0" borderId="12" xfId="0" applyBorder="1" applyFont="1" applyNumberFormat="1"/>
    <xf numFmtId="0" fontId="2" fillId="2" borderId="12" xfId="0" applyBorder="1" applyFont="1" applyFill="1"/>
    <xf numFmtId="164" fontId="1" fillId="0" borderId="0" xfId="1" applyBorder="1" applyFont="1" applyNumberFormat="1"/>
    <xf numFmtId="0" fontId="2" fillId="0" borderId="0" xfId="0" applyBorder="1" applyFont="1" applyFill="1"/>
    <xf numFmtId="0" fontId="2" fillId="2" borderId="0" xfId="0" applyBorder="1" applyFont="1" applyFill="1"/>
    <xf numFmtId="164" fontId="2" fillId="0" borderId="1" xfId="1" applyAlignment="1" applyBorder="1" applyFont="1" applyNumberFormat="1">
      <alignment horizontal="center"/>
    </xf>
    <xf numFmtId="164" fontId="2" fillId="0" borderId="3" xfId="0" applyBorder="1" applyFont="1" applyNumberFormat="1"/>
    <xf numFmtId="0" fontId="2" fillId="2" borderId="4" xfId="0" applyBorder="1" applyFont="1" applyFill="1"/>
    <xf numFmtId="164" fontId="2" fillId="0" borderId="4" xfId="0" applyBorder="1" applyFont="1" applyNumberFormat="1"/>
    <xf numFmtId="0" fontId="1" fillId="2" borderId="12" xfId="0" applyBorder="1" applyFont="1" applyFill="1"/>
    <xf numFmtId="0" fontId="1" fillId="2" borderId="11" xfId="0" applyBorder="1" applyFont="1" applyFill="1"/>
    <xf numFmtId="164" fontId="1" fillId="0" borderId="12" xfId="0" applyBorder="1" applyFont="1" applyNumberFormat="1"/>
    <xf numFmtId="164" fontId="2" fillId="0" borderId="0" xfId="0" applyFont="1" applyNumberFormat="1"/>
    <xf numFmtId="0" fontId="1" fillId="0" borderId="6" xfId="0" applyBorder="1" applyFont="1"/>
    <xf numFmtId="0" fontId="1" fillId="0" borderId="2" xfId="0" applyBorder="1" applyFont="1"/>
    <xf numFmtId="0" fontId="1" fillId="2" borderId="13" xfId="0" applyBorder="1" applyFont="1" applyFill="1"/>
    <xf numFmtId="164" fontId="1" fillId="0" borderId="2" xfId="0" applyBorder="1" applyFont="1" applyNumberFormat="1"/>
    <xf numFmtId="0" fontId="1" fillId="0" borderId="7" xfId="0" applyBorder="1" applyFont="1"/>
    <xf numFmtId="0" fontId="1" fillId="0" borderId="0" xfId="0" applyBorder="1" applyFont="1"/>
    <xf numFmtId="0" fontId="1" fillId="2" borderId="14" xfId="0" applyBorder="1" applyFont="1" applyFill="1"/>
    <xf numFmtId="164" fontId="1" fillId="0" borderId="0" xfId="0" applyBorder="1" applyFont="1" applyNumberFormat="1"/>
    <xf numFmtId="0" fontId="1" fillId="2" borderId="15" xfId="0" applyBorder="1" applyFont="1" applyFill="1"/>
    <xf numFmtId="0" fontId="1" fillId="2" borderId="9" xfId="0" applyBorder="1" applyFont="1" applyFill="1"/>
    <xf numFmtId="164" fontId="1" fillId="0" borderId="10" xfId="0" applyBorder="1" applyFont="1" applyNumberFormat="1"/>
    <xf numFmtId="164" fontId="2" fillId="0" borderId="3" xfId="1" applyAlignment="1" applyBorder="1" applyFont="1" applyNumberFormat="1">
      <alignment horizontal="center"/>
    </xf>
    <xf numFmtId="164" fontId="2" fillId="0" borderId="4" xfId="1" applyAlignment="1" applyBorder="1" applyFont="1" applyNumberFormat="1">
      <alignment horizontal="center"/>
    </xf>
    <xf numFmtId="164" fontId="1" fillId="0" borderId="12" xfId="1" applyAlignment="1" applyBorder="1" applyFont="1" applyNumberFormat="1">
      <alignment horizontal="center"/>
    </xf>
    <xf numFmtId="165" fontId="2" fillId="0" borderId="4" xfId="1" applyBorder="1" applyFont="1" applyNumberFormat="1"/>
    <xf numFmtId="164" fontId="1" fillId="0" borderId="10" xfId="1" applyBorder="1" applyFont="1" applyNumberFormat="1"/>
    <xf numFmtId="164" fontId="2" fillId="0" borderId="14" xfId="1" applyBorder="1" applyFont="1" applyNumberFormat="1"/>
    <xf numFmtId="0" fontId="2" fillId="0" borderId="5" xfId="0" applyBorder="1" applyFont="1" applyFill="1"/>
    <xf numFmtId="164" fontId="2" fillId="0" borderId="0" xfId="0" applyBorder="1" applyFont="1" applyNumberFormat="1"/>
    <xf numFmtId="164" fontId="1" fillId="0" borderId="1" xfId="1" applyAlignment="1" applyBorder="1" applyFont="1" applyNumberFormat="1">
      <alignment horizontal="center"/>
    </xf>
    <xf numFmtId="164" fontId="1" fillId="0" borderId="3" xfId="1" applyAlignment="1" applyBorder="1" applyFont="1" applyNumberFormat="1">
      <alignment horizontal="center"/>
    </xf>
    <xf numFmtId="3" fontId="2" fillId="0" borderId="0" xfId="0" applyFont="1" applyNumberFormat="1"/>
    <xf numFmtId="164" fontId="1" fillId="0" borderId="3" xfId="0" applyBorder="1" applyFont="1" applyNumberFormat="1"/>
    <xf numFmtId="0" fontId="1" fillId="0" borderId="5" xfId="0" applyBorder="1" applyFont="1"/>
    <xf numFmtId="0" fontId="2" fillId="0" borderId="6" xfId="0" applyAlignment="1" applyBorder="1" applyFont="1">
      <alignment horizontal="right"/>
    </xf>
    <xf numFmtId="164" fontId="2" fillId="0" borderId="13" xfId="1" applyBorder="1" applyFont="1" applyNumberFormat="1"/>
    <xf numFmtId="0" fontId="1" fillId="0" borderId="10" xfId="0" applyBorder="1" applyFont="1"/>
    <xf numFmtId="43" fontId="1" fillId="0" borderId="11" xfId="0" applyBorder="1" applyFont="1" applyNumberFormat="1"/>
    <xf numFmtId="49" fontId="2" fillId="0" borderId="6" xfId="1" applyBorder="1" applyFont="1" applyNumberFormat="1"/>
    <xf numFmtId="49" fontId="2" fillId="0" borderId="7" xfId="1" applyBorder="1" applyFont="1" applyNumberFormat="1"/>
    <xf numFmtId="49" fontId="2" fillId="0" borderId="7" xfId="0" applyBorder="1" applyFont="1" applyNumberFormat="1"/>
    <xf numFmtId="49" fontId="2" fillId="0" borderId="8" xfId="1" applyBorder="1" applyFont="1" applyNumberFormat="1"/>
    <xf numFmtId="0" fontId="1" fillId="0" borderId="16" xfId="0" applyBorder="1" applyFont="1"/>
    <xf numFmtId="0" fontId="2" fillId="0" borderId="17" xfId="0" applyBorder="1" applyFont="1"/>
    <xf numFmtId="164" fontId="1" fillId="0" borderId="18" xfId="0" applyBorder="1" applyFont="1" applyNumberFormat="1"/>
    <xf numFmtId="166" fontId="2" fillId="0" borderId="0" xfId="0" applyFont="1" applyNumberFormat="1"/>
    <xf numFmtId="8" fontId="2" fillId="0" borderId="3" xfId="0" applyAlignment="1" applyBorder="1" applyFont="1" applyNumberFormat="1">
      <alignment horizontal="center"/>
    </xf>
    <xf numFmtId="43" fontId="2" fillId="0" borderId="1" xfId="0" applyAlignment="1" applyBorder="1" applyFont="1" applyNumberFormat="1">
      <alignment horizontal="center"/>
    </xf>
    <xf numFmtId="164" fontId="2" fillId="0" borderId="1" xfId="1" applyAlignment="1" applyBorder="1" applyFont="1" applyNumberFormat="1">
      <alignment horizontal="right"/>
    </xf>
    <xf numFmtId="164" fontId="2" fillId="0" borderId="4" xfId="1" applyAlignment="1" applyBorder="1" applyFont="1" applyNumberFormat="1">
      <alignment horizontal="right"/>
    </xf>
    <xf numFmtId="0" fontId="2" fillId="0" borderId="0" xfId="0" applyAlignment="1" applyBorder="1" applyFont="1" quotePrefix="1">
      <alignment horizontal="left"/>
    </xf>
    <xf numFmtId="43" fontId="2" fillId="0" borderId="7" xfId="1" applyBorder="1" applyFont="1" applyNumberFormat="1"/>
    <xf numFmtId="43" fontId="2" fillId="0" borderId="2" xfId="0" applyAlignment="1" applyBorder="1" applyFont="1" applyNumberFormat="1">
      <alignment horizontal="center"/>
    </xf>
    <xf numFmtId="164" fontId="2" fillId="0" borderId="2" xfId="1" applyBorder="1" applyFont="1" applyNumberFormat="1"/>
    <xf numFmtId="0" fontId="2" fillId="2" borderId="1" xfId="0" applyAlignment="1" applyBorder="1" applyFont="1" applyFill="1">
      <alignment horizontal="center"/>
    </xf>
    <xf numFmtId="43" fontId="2" fillId="0" borderId="5" xfId="0" applyBorder="1" applyFont="1" applyNumberFormat="1"/>
    <xf numFmtId="41" fontId="1" fillId="0" borderId="6" xfId="0" applyBorder="1" applyFont="1" applyNumberFormat="1"/>
    <xf numFmtId="41" fontId="1" fillId="0" borderId="7" xfId="0" applyBorder="1" applyFont="1" applyNumberFormat="1"/>
    <xf numFmtId="41" fontId="1" fillId="0" borderId="8" xfId="0" applyBorder="1" applyFont="1" applyNumberFormat="1"/>
    <xf numFmtId="164" fontId="1" fillId="0" borderId="14" xfId="1" applyBorder="1" applyFont="1" applyNumberFormat="1"/>
    <xf numFmtId="43" fontId="1" fillId="0" borderId="0" xfId="0" applyFont="1" applyNumberFormat="1"/>
    <xf numFmtId="0" fontId="2" fillId="0" borderId="1" xfId="0" applyBorder="1" applyFont="1"/>
    <xf numFmtId="0" fontId="2" fillId="0" borderId="4" xfId="0" applyBorder="1" applyFont="1"/>
    <xf numFmtId="43" fontId="1" fillId="0" borderId="0" xfId="0" applyBorder="1" applyFont="1" applyNumberFormat="1"/>
    <xf numFmtId="9" fontId="1" fillId="0" borderId="14" xfId="2" applyBorder="1" applyFont="1" applyNumberFormat="1"/>
    <xf numFmtId="9" fontId="2" fillId="0" borderId="3" xfId="2" applyBorder="1" applyFont="1" applyNumberFormat="1"/>
    <xf numFmtId="9" fontId="2" fillId="0" borderId="4" xfId="2" applyBorder="1" applyFont="1" applyNumberFormat="1"/>
  </cellXfs>
  <cellStyles count="3">
    <cellStyle name="Comma" xfId="1" builtinId="3"/>
    <cellStyle name="Normal" xfId="0" builtinId="0"/>
    <cellStyle name="Percent" xfId="2" builtinId="5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WVR268"/>
  <sheetViews>
    <sheetView view="normal" tabSelected="1" workbookViewId="0">
      <selection pane="topLeft" activeCell="P10" sqref="P10"/>
    </sheetView>
  </sheetViews>
  <sheetFormatPr defaultRowHeight="10.2"/>
  <cols>
    <col min="1" max="1" width="9.33203125" style="2" customWidth="1"/>
    <col min="2" max="2" width="16.33203125" style="2" bestFit="1" customWidth="1"/>
    <col min="3" max="3" width="13.33203125" style="2" customWidth="1"/>
    <col min="4" max="4" width="18.33203125" style="2" bestFit="1" customWidth="1"/>
    <col min="5" max="5" width="10.5" style="2" bestFit="1" customWidth="1"/>
    <col min="6" max="6" width="14.16015625" style="2" bestFit="1" customWidth="1"/>
    <col min="7" max="7" width="14.66015625" style="2" bestFit="1" customWidth="1"/>
    <col min="8" max="8" width="17.66015625" style="2" bestFit="1" customWidth="1"/>
    <col min="9" max="9" width="11.5" style="2" bestFit="1" customWidth="1"/>
    <col min="10" max="10" width="7.83203125" style="2" bestFit="1" customWidth="1"/>
    <col min="11" max="257" width="9.33203125" style="2" customWidth="1"/>
    <col min="258" max="258" width="16.33203125" style="2" bestFit="1" customWidth="1"/>
    <col min="259" max="259" width="11" style="2" customWidth="1"/>
    <col min="260" max="260" width="18.33203125" style="2" bestFit="1" customWidth="1"/>
    <col min="261" max="261" width="10.5" style="2" bestFit="1" customWidth="1"/>
    <col min="262" max="262" width="12.83203125" style="2" bestFit="1" customWidth="1"/>
    <col min="263" max="263" width="14.66015625" style="2" bestFit="1" customWidth="1"/>
    <col min="264" max="264" width="17.66015625" style="2" bestFit="1" customWidth="1"/>
    <col min="265" max="266" width="7.83203125" style="2" bestFit="1" customWidth="1"/>
    <col min="267" max="513" width="9.33203125" style="2" customWidth="1"/>
    <col min="514" max="514" width="16.33203125" style="2" bestFit="1" customWidth="1"/>
    <col min="515" max="515" width="11" style="2" customWidth="1"/>
    <col min="516" max="516" width="18.33203125" style="2" bestFit="1" customWidth="1"/>
    <col min="517" max="517" width="10.5" style="2" bestFit="1" customWidth="1"/>
    <col min="518" max="518" width="12.83203125" style="2" bestFit="1" customWidth="1"/>
    <col min="519" max="519" width="14.66015625" style="2" bestFit="1" customWidth="1"/>
    <col min="520" max="520" width="17.66015625" style="2" bestFit="1" customWidth="1"/>
    <col min="521" max="522" width="7.83203125" style="2" bestFit="1" customWidth="1"/>
    <col min="523" max="769" width="9.33203125" style="2" customWidth="1"/>
    <col min="770" max="770" width="16.33203125" style="2" bestFit="1" customWidth="1"/>
    <col min="771" max="771" width="11" style="2" customWidth="1"/>
    <col min="772" max="772" width="18.33203125" style="2" bestFit="1" customWidth="1"/>
    <col min="773" max="773" width="10.5" style="2" bestFit="1" customWidth="1"/>
    <col min="774" max="774" width="12.83203125" style="2" bestFit="1" customWidth="1"/>
    <col min="775" max="775" width="14.66015625" style="2" bestFit="1" customWidth="1"/>
    <col min="776" max="776" width="17.66015625" style="2" bestFit="1" customWidth="1"/>
    <col min="777" max="778" width="7.83203125" style="2" bestFit="1" customWidth="1"/>
    <col min="779" max="1025" width="9.33203125" style="2" customWidth="1"/>
    <col min="1026" max="1026" width="16.33203125" style="2" bestFit="1" customWidth="1"/>
    <col min="1027" max="1027" width="11" style="2" customWidth="1"/>
    <col min="1028" max="1028" width="18.33203125" style="2" bestFit="1" customWidth="1"/>
    <col min="1029" max="1029" width="10.5" style="2" bestFit="1" customWidth="1"/>
    <col min="1030" max="1030" width="12.83203125" style="2" bestFit="1" customWidth="1"/>
    <col min="1031" max="1031" width="14.66015625" style="2" bestFit="1" customWidth="1"/>
    <col min="1032" max="1032" width="17.66015625" style="2" bestFit="1" customWidth="1"/>
    <col min="1033" max="1034" width="7.83203125" style="2" bestFit="1" customWidth="1"/>
    <col min="1035" max="1281" width="9.33203125" style="2" customWidth="1"/>
    <col min="1282" max="1282" width="16.33203125" style="2" bestFit="1" customWidth="1"/>
    <col min="1283" max="1283" width="11" style="2" customWidth="1"/>
    <col min="1284" max="1284" width="18.33203125" style="2" bestFit="1" customWidth="1"/>
    <col min="1285" max="1285" width="10.5" style="2" bestFit="1" customWidth="1"/>
    <col min="1286" max="1286" width="12.83203125" style="2" bestFit="1" customWidth="1"/>
    <col min="1287" max="1287" width="14.66015625" style="2" bestFit="1" customWidth="1"/>
    <col min="1288" max="1288" width="17.66015625" style="2" bestFit="1" customWidth="1"/>
    <col min="1289" max="1290" width="7.83203125" style="2" bestFit="1" customWidth="1"/>
    <col min="1291" max="1537" width="9.33203125" style="2" customWidth="1"/>
    <col min="1538" max="1538" width="16.33203125" style="2" bestFit="1" customWidth="1"/>
    <col min="1539" max="1539" width="11" style="2" customWidth="1"/>
    <col min="1540" max="1540" width="18.33203125" style="2" bestFit="1" customWidth="1"/>
    <col min="1541" max="1541" width="10.5" style="2" bestFit="1" customWidth="1"/>
    <col min="1542" max="1542" width="12.83203125" style="2" bestFit="1" customWidth="1"/>
    <col min="1543" max="1543" width="14.66015625" style="2" bestFit="1" customWidth="1"/>
    <col min="1544" max="1544" width="17.66015625" style="2" bestFit="1" customWidth="1"/>
    <col min="1545" max="1546" width="7.83203125" style="2" bestFit="1" customWidth="1"/>
    <col min="1547" max="1793" width="9.33203125" style="2" customWidth="1"/>
    <col min="1794" max="1794" width="16.33203125" style="2" bestFit="1" customWidth="1"/>
    <col min="1795" max="1795" width="11" style="2" customWidth="1"/>
    <col min="1796" max="1796" width="18.33203125" style="2" bestFit="1" customWidth="1"/>
    <col min="1797" max="1797" width="10.5" style="2" bestFit="1" customWidth="1"/>
    <col min="1798" max="1798" width="12.83203125" style="2" bestFit="1" customWidth="1"/>
    <col min="1799" max="1799" width="14.66015625" style="2" bestFit="1" customWidth="1"/>
    <col min="1800" max="1800" width="17.66015625" style="2" bestFit="1" customWidth="1"/>
    <col min="1801" max="1802" width="7.83203125" style="2" bestFit="1" customWidth="1"/>
    <col min="1803" max="2049" width="9.33203125" style="2" customWidth="1"/>
    <col min="2050" max="2050" width="16.33203125" style="2" bestFit="1" customWidth="1"/>
    <col min="2051" max="2051" width="11" style="2" customWidth="1"/>
    <col min="2052" max="2052" width="18.33203125" style="2" bestFit="1" customWidth="1"/>
    <col min="2053" max="2053" width="10.5" style="2" bestFit="1" customWidth="1"/>
    <col min="2054" max="2054" width="12.83203125" style="2" bestFit="1" customWidth="1"/>
    <col min="2055" max="2055" width="14.66015625" style="2" bestFit="1" customWidth="1"/>
    <col min="2056" max="2056" width="17.66015625" style="2" bestFit="1" customWidth="1"/>
    <col min="2057" max="2058" width="7.83203125" style="2" bestFit="1" customWidth="1"/>
    <col min="2059" max="2305" width="9.33203125" style="2" customWidth="1"/>
    <col min="2306" max="2306" width="16.33203125" style="2" bestFit="1" customWidth="1"/>
    <col min="2307" max="2307" width="11" style="2" customWidth="1"/>
    <col min="2308" max="2308" width="18.33203125" style="2" bestFit="1" customWidth="1"/>
    <col min="2309" max="2309" width="10.5" style="2" bestFit="1" customWidth="1"/>
    <col min="2310" max="2310" width="12.83203125" style="2" bestFit="1" customWidth="1"/>
    <col min="2311" max="2311" width="14.66015625" style="2" bestFit="1" customWidth="1"/>
    <col min="2312" max="2312" width="17.66015625" style="2" bestFit="1" customWidth="1"/>
    <col min="2313" max="2314" width="7.83203125" style="2" bestFit="1" customWidth="1"/>
    <col min="2315" max="2561" width="9.33203125" style="2" customWidth="1"/>
    <col min="2562" max="2562" width="16.33203125" style="2" bestFit="1" customWidth="1"/>
    <col min="2563" max="2563" width="11" style="2" customWidth="1"/>
    <col min="2564" max="2564" width="18.33203125" style="2" bestFit="1" customWidth="1"/>
    <col min="2565" max="2565" width="10.5" style="2" bestFit="1" customWidth="1"/>
    <col min="2566" max="2566" width="12.83203125" style="2" bestFit="1" customWidth="1"/>
    <col min="2567" max="2567" width="14.66015625" style="2" bestFit="1" customWidth="1"/>
    <col min="2568" max="2568" width="17.66015625" style="2" bestFit="1" customWidth="1"/>
    <col min="2569" max="2570" width="7.83203125" style="2" bestFit="1" customWidth="1"/>
    <col min="2571" max="2817" width="9.33203125" style="2" customWidth="1"/>
    <col min="2818" max="2818" width="16.33203125" style="2" bestFit="1" customWidth="1"/>
    <col min="2819" max="2819" width="11" style="2" customWidth="1"/>
    <col min="2820" max="2820" width="18.33203125" style="2" bestFit="1" customWidth="1"/>
    <col min="2821" max="2821" width="10.5" style="2" bestFit="1" customWidth="1"/>
    <col min="2822" max="2822" width="12.83203125" style="2" bestFit="1" customWidth="1"/>
    <col min="2823" max="2823" width="14.66015625" style="2" bestFit="1" customWidth="1"/>
    <col min="2824" max="2824" width="17.66015625" style="2" bestFit="1" customWidth="1"/>
    <col min="2825" max="2826" width="7.83203125" style="2" bestFit="1" customWidth="1"/>
    <col min="2827" max="3073" width="9.33203125" style="2" customWidth="1"/>
    <col min="3074" max="3074" width="16.33203125" style="2" bestFit="1" customWidth="1"/>
    <col min="3075" max="3075" width="11" style="2" customWidth="1"/>
    <col min="3076" max="3076" width="18.33203125" style="2" bestFit="1" customWidth="1"/>
    <col min="3077" max="3077" width="10.5" style="2" bestFit="1" customWidth="1"/>
    <col min="3078" max="3078" width="12.83203125" style="2" bestFit="1" customWidth="1"/>
    <col min="3079" max="3079" width="14.66015625" style="2" bestFit="1" customWidth="1"/>
    <col min="3080" max="3080" width="17.66015625" style="2" bestFit="1" customWidth="1"/>
    <col min="3081" max="3082" width="7.83203125" style="2" bestFit="1" customWidth="1"/>
    <col min="3083" max="3329" width="9.33203125" style="2" customWidth="1"/>
    <col min="3330" max="3330" width="16.33203125" style="2" bestFit="1" customWidth="1"/>
    <col min="3331" max="3331" width="11" style="2" customWidth="1"/>
    <col min="3332" max="3332" width="18.33203125" style="2" bestFit="1" customWidth="1"/>
    <col min="3333" max="3333" width="10.5" style="2" bestFit="1" customWidth="1"/>
    <col min="3334" max="3334" width="12.83203125" style="2" bestFit="1" customWidth="1"/>
    <col min="3335" max="3335" width="14.66015625" style="2" bestFit="1" customWidth="1"/>
    <col min="3336" max="3336" width="17.66015625" style="2" bestFit="1" customWidth="1"/>
    <col min="3337" max="3338" width="7.83203125" style="2" bestFit="1" customWidth="1"/>
    <col min="3339" max="3585" width="9.33203125" style="2" customWidth="1"/>
    <col min="3586" max="3586" width="16.33203125" style="2" bestFit="1" customWidth="1"/>
    <col min="3587" max="3587" width="11" style="2" customWidth="1"/>
    <col min="3588" max="3588" width="18.33203125" style="2" bestFit="1" customWidth="1"/>
    <col min="3589" max="3589" width="10.5" style="2" bestFit="1" customWidth="1"/>
    <col min="3590" max="3590" width="12.83203125" style="2" bestFit="1" customWidth="1"/>
    <col min="3591" max="3591" width="14.66015625" style="2" bestFit="1" customWidth="1"/>
    <col min="3592" max="3592" width="17.66015625" style="2" bestFit="1" customWidth="1"/>
    <col min="3593" max="3594" width="7.83203125" style="2" bestFit="1" customWidth="1"/>
    <col min="3595" max="3841" width="9.33203125" style="2" customWidth="1"/>
    <col min="3842" max="3842" width="16.33203125" style="2" bestFit="1" customWidth="1"/>
    <col min="3843" max="3843" width="11" style="2" customWidth="1"/>
    <col min="3844" max="3844" width="18.33203125" style="2" bestFit="1" customWidth="1"/>
    <col min="3845" max="3845" width="10.5" style="2" bestFit="1" customWidth="1"/>
    <col min="3846" max="3846" width="12.83203125" style="2" bestFit="1" customWidth="1"/>
    <col min="3847" max="3847" width="14.66015625" style="2" bestFit="1" customWidth="1"/>
    <col min="3848" max="3848" width="17.66015625" style="2" bestFit="1" customWidth="1"/>
    <col min="3849" max="3850" width="7.83203125" style="2" bestFit="1" customWidth="1"/>
    <col min="3851" max="4097" width="9.33203125" style="2" customWidth="1"/>
    <col min="4098" max="4098" width="16.33203125" style="2" bestFit="1" customWidth="1"/>
    <col min="4099" max="4099" width="11" style="2" customWidth="1"/>
    <col min="4100" max="4100" width="18.33203125" style="2" bestFit="1" customWidth="1"/>
    <col min="4101" max="4101" width="10.5" style="2" bestFit="1" customWidth="1"/>
    <col min="4102" max="4102" width="12.83203125" style="2" bestFit="1" customWidth="1"/>
    <col min="4103" max="4103" width="14.66015625" style="2" bestFit="1" customWidth="1"/>
    <col min="4104" max="4104" width="17.66015625" style="2" bestFit="1" customWidth="1"/>
    <col min="4105" max="4106" width="7.83203125" style="2" bestFit="1" customWidth="1"/>
    <col min="4107" max="4353" width="9.33203125" style="2" customWidth="1"/>
    <col min="4354" max="4354" width="16.33203125" style="2" bestFit="1" customWidth="1"/>
    <col min="4355" max="4355" width="11" style="2" customWidth="1"/>
    <col min="4356" max="4356" width="18.33203125" style="2" bestFit="1" customWidth="1"/>
    <col min="4357" max="4357" width="10.5" style="2" bestFit="1" customWidth="1"/>
    <col min="4358" max="4358" width="12.83203125" style="2" bestFit="1" customWidth="1"/>
    <col min="4359" max="4359" width="14.66015625" style="2" bestFit="1" customWidth="1"/>
    <col min="4360" max="4360" width="17.66015625" style="2" bestFit="1" customWidth="1"/>
    <col min="4361" max="4362" width="7.83203125" style="2" bestFit="1" customWidth="1"/>
    <col min="4363" max="4609" width="9.33203125" style="2" customWidth="1"/>
    <col min="4610" max="4610" width="16.33203125" style="2" bestFit="1" customWidth="1"/>
    <col min="4611" max="4611" width="11" style="2" customWidth="1"/>
    <col min="4612" max="4612" width="18.33203125" style="2" bestFit="1" customWidth="1"/>
    <col min="4613" max="4613" width="10.5" style="2" bestFit="1" customWidth="1"/>
    <col min="4614" max="4614" width="12.83203125" style="2" bestFit="1" customWidth="1"/>
    <col min="4615" max="4615" width="14.66015625" style="2" bestFit="1" customWidth="1"/>
    <col min="4616" max="4616" width="17.66015625" style="2" bestFit="1" customWidth="1"/>
    <col min="4617" max="4618" width="7.83203125" style="2" bestFit="1" customWidth="1"/>
    <col min="4619" max="4865" width="9.33203125" style="2" customWidth="1"/>
    <col min="4866" max="4866" width="16.33203125" style="2" bestFit="1" customWidth="1"/>
    <col min="4867" max="4867" width="11" style="2" customWidth="1"/>
    <col min="4868" max="4868" width="18.33203125" style="2" bestFit="1" customWidth="1"/>
    <col min="4869" max="4869" width="10.5" style="2" bestFit="1" customWidth="1"/>
    <col min="4870" max="4870" width="12.83203125" style="2" bestFit="1" customWidth="1"/>
    <col min="4871" max="4871" width="14.66015625" style="2" bestFit="1" customWidth="1"/>
    <col min="4872" max="4872" width="17.66015625" style="2" bestFit="1" customWidth="1"/>
    <col min="4873" max="4874" width="7.83203125" style="2" bestFit="1" customWidth="1"/>
    <col min="4875" max="5121" width="9.33203125" style="2" customWidth="1"/>
    <col min="5122" max="5122" width="16.33203125" style="2" bestFit="1" customWidth="1"/>
    <col min="5123" max="5123" width="11" style="2" customWidth="1"/>
    <col min="5124" max="5124" width="18.33203125" style="2" bestFit="1" customWidth="1"/>
    <col min="5125" max="5125" width="10.5" style="2" bestFit="1" customWidth="1"/>
    <col min="5126" max="5126" width="12.83203125" style="2" bestFit="1" customWidth="1"/>
    <col min="5127" max="5127" width="14.66015625" style="2" bestFit="1" customWidth="1"/>
    <col min="5128" max="5128" width="17.66015625" style="2" bestFit="1" customWidth="1"/>
    <col min="5129" max="5130" width="7.83203125" style="2" bestFit="1" customWidth="1"/>
    <col min="5131" max="5377" width="9.33203125" style="2" customWidth="1"/>
    <col min="5378" max="5378" width="16.33203125" style="2" bestFit="1" customWidth="1"/>
    <col min="5379" max="5379" width="11" style="2" customWidth="1"/>
    <col min="5380" max="5380" width="18.33203125" style="2" bestFit="1" customWidth="1"/>
    <col min="5381" max="5381" width="10.5" style="2" bestFit="1" customWidth="1"/>
    <col min="5382" max="5382" width="12.83203125" style="2" bestFit="1" customWidth="1"/>
    <col min="5383" max="5383" width="14.66015625" style="2" bestFit="1" customWidth="1"/>
    <col min="5384" max="5384" width="17.66015625" style="2" bestFit="1" customWidth="1"/>
    <col min="5385" max="5386" width="7.83203125" style="2" bestFit="1" customWidth="1"/>
    <col min="5387" max="5633" width="9.33203125" style="2" customWidth="1"/>
    <col min="5634" max="5634" width="16.33203125" style="2" bestFit="1" customWidth="1"/>
    <col min="5635" max="5635" width="11" style="2" customWidth="1"/>
    <col min="5636" max="5636" width="18.33203125" style="2" bestFit="1" customWidth="1"/>
    <col min="5637" max="5637" width="10.5" style="2" bestFit="1" customWidth="1"/>
    <col min="5638" max="5638" width="12.83203125" style="2" bestFit="1" customWidth="1"/>
    <col min="5639" max="5639" width="14.66015625" style="2" bestFit="1" customWidth="1"/>
    <col min="5640" max="5640" width="17.66015625" style="2" bestFit="1" customWidth="1"/>
    <col min="5641" max="5642" width="7.83203125" style="2" bestFit="1" customWidth="1"/>
    <col min="5643" max="5889" width="9.33203125" style="2" customWidth="1"/>
    <col min="5890" max="5890" width="16.33203125" style="2" bestFit="1" customWidth="1"/>
    <col min="5891" max="5891" width="11" style="2" customWidth="1"/>
    <col min="5892" max="5892" width="18.33203125" style="2" bestFit="1" customWidth="1"/>
    <col min="5893" max="5893" width="10.5" style="2" bestFit="1" customWidth="1"/>
    <col min="5894" max="5894" width="12.83203125" style="2" bestFit="1" customWidth="1"/>
    <col min="5895" max="5895" width="14.66015625" style="2" bestFit="1" customWidth="1"/>
    <col min="5896" max="5896" width="17.66015625" style="2" bestFit="1" customWidth="1"/>
    <col min="5897" max="5898" width="7.83203125" style="2" bestFit="1" customWidth="1"/>
    <col min="5899" max="6145" width="9.33203125" style="2" customWidth="1"/>
    <col min="6146" max="6146" width="16.33203125" style="2" bestFit="1" customWidth="1"/>
    <col min="6147" max="6147" width="11" style="2" customWidth="1"/>
    <col min="6148" max="6148" width="18.33203125" style="2" bestFit="1" customWidth="1"/>
    <col min="6149" max="6149" width="10.5" style="2" bestFit="1" customWidth="1"/>
    <col min="6150" max="6150" width="12.83203125" style="2" bestFit="1" customWidth="1"/>
    <col min="6151" max="6151" width="14.66015625" style="2" bestFit="1" customWidth="1"/>
    <col min="6152" max="6152" width="17.66015625" style="2" bestFit="1" customWidth="1"/>
    <col min="6153" max="6154" width="7.83203125" style="2" bestFit="1" customWidth="1"/>
    <col min="6155" max="6401" width="9.33203125" style="2" customWidth="1"/>
    <col min="6402" max="6402" width="16.33203125" style="2" bestFit="1" customWidth="1"/>
    <col min="6403" max="6403" width="11" style="2" customWidth="1"/>
    <col min="6404" max="6404" width="18.33203125" style="2" bestFit="1" customWidth="1"/>
    <col min="6405" max="6405" width="10.5" style="2" bestFit="1" customWidth="1"/>
    <col min="6406" max="6406" width="12.83203125" style="2" bestFit="1" customWidth="1"/>
    <col min="6407" max="6407" width="14.66015625" style="2" bestFit="1" customWidth="1"/>
    <col min="6408" max="6408" width="17.66015625" style="2" bestFit="1" customWidth="1"/>
    <col min="6409" max="6410" width="7.83203125" style="2" bestFit="1" customWidth="1"/>
    <col min="6411" max="6657" width="9.33203125" style="2" customWidth="1"/>
    <col min="6658" max="6658" width="16.33203125" style="2" bestFit="1" customWidth="1"/>
    <col min="6659" max="6659" width="11" style="2" customWidth="1"/>
    <col min="6660" max="6660" width="18.33203125" style="2" bestFit="1" customWidth="1"/>
    <col min="6661" max="6661" width="10.5" style="2" bestFit="1" customWidth="1"/>
    <col min="6662" max="6662" width="12.83203125" style="2" bestFit="1" customWidth="1"/>
    <col min="6663" max="6663" width="14.66015625" style="2" bestFit="1" customWidth="1"/>
    <col min="6664" max="6664" width="17.66015625" style="2" bestFit="1" customWidth="1"/>
    <col min="6665" max="6666" width="7.83203125" style="2" bestFit="1" customWidth="1"/>
    <col min="6667" max="6913" width="9.33203125" style="2" customWidth="1"/>
    <col min="6914" max="6914" width="16.33203125" style="2" bestFit="1" customWidth="1"/>
    <col min="6915" max="6915" width="11" style="2" customWidth="1"/>
    <col min="6916" max="6916" width="18.33203125" style="2" bestFit="1" customWidth="1"/>
    <col min="6917" max="6917" width="10.5" style="2" bestFit="1" customWidth="1"/>
    <col min="6918" max="6918" width="12.83203125" style="2" bestFit="1" customWidth="1"/>
    <col min="6919" max="6919" width="14.66015625" style="2" bestFit="1" customWidth="1"/>
    <col min="6920" max="6920" width="17.66015625" style="2" bestFit="1" customWidth="1"/>
    <col min="6921" max="6922" width="7.83203125" style="2" bestFit="1" customWidth="1"/>
    <col min="6923" max="7169" width="9.33203125" style="2" customWidth="1"/>
    <col min="7170" max="7170" width="16.33203125" style="2" bestFit="1" customWidth="1"/>
    <col min="7171" max="7171" width="11" style="2" customWidth="1"/>
    <col min="7172" max="7172" width="18.33203125" style="2" bestFit="1" customWidth="1"/>
    <col min="7173" max="7173" width="10.5" style="2" bestFit="1" customWidth="1"/>
    <col min="7174" max="7174" width="12.83203125" style="2" bestFit="1" customWidth="1"/>
    <col min="7175" max="7175" width="14.66015625" style="2" bestFit="1" customWidth="1"/>
    <col min="7176" max="7176" width="17.66015625" style="2" bestFit="1" customWidth="1"/>
    <col min="7177" max="7178" width="7.83203125" style="2" bestFit="1" customWidth="1"/>
    <col min="7179" max="7425" width="9.33203125" style="2" customWidth="1"/>
    <col min="7426" max="7426" width="16.33203125" style="2" bestFit="1" customWidth="1"/>
    <col min="7427" max="7427" width="11" style="2" customWidth="1"/>
    <col min="7428" max="7428" width="18.33203125" style="2" bestFit="1" customWidth="1"/>
    <col min="7429" max="7429" width="10.5" style="2" bestFit="1" customWidth="1"/>
    <col min="7430" max="7430" width="12.83203125" style="2" bestFit="1" customWidth="1"/>
    <col min="7431" max="7431" width="14.66015625" style="2" bestFit="1" customWidth="1"/>
    <col min="7432" max="7432" width="17.66015625" style="2" bestFit="1" customWidth="1"/>
    <col min="7433" max="7434" width="7.83203125" style="2" bestFit="1" customWidth="1"/>
    <col min="7435" max="7681" width="9.33203125" style="2" customWidth="1"/>
    <col min="7682" max="7682" width="16.33203125" style="2" bestFit="1" customWidth="1"/>
    <col min="7683" max="7683" width="11" style="2" customWidth="1"/>
    <col min="7684" max="7684" width="18.33203125" style="2" bestFit="1" customWidth="1"/>
    <col min="7685" max="7685" width="10.5" style="2" bestFit="1" customWidth="1"/>
    <col min="7686" max="7686" width="12.83203125" style="2" bestFit="1" customWidth="1"/>
    <col min="7687" max="7687" width="14.66015625" style="2" bestFit="1" customWidth="1"/>
    <col min="7688" max="7688" width="17.66015625" style="2" bestFit="1" customWidth="1"/>
    <col min="7689" max="7690" width="7.83203125" style="2" bestFit="1" customWidth="1"/>
    <col min="7691" max="7937" width="9.33203125" style="2" customWidth="1"/>
    <col min="7938" max="7938" width="16.33203125" style="2" bestFit="1" customWidth="1"/>
    <col min="7939" max="7939" width="11" style="2" customWidth="1"/>
    <col min="7940" max="7940" width="18.33203125" style="2" bestFit="1" customWidth="1"/>
    <col min="7941" max="7941" width="10.5" style="2" bestFit="1" customWidth="1"/>
    <col min="7942" max="7942" width="12.83203125" style="2" bestFit="1" customWidth="1"/>
    <col min="7943" max="7943" width="14.66015625" style="2" bestFit="1" customWidth="1"/>
    <col min="7944" max="7944" width="17.66015625" style="2" bestFit="1" customWidth="1"/>
    <col min="7945" max="7946" width="7.83203125" style="2" bestFit="1" customWidth="1"/>
    <col min="7947" max="8193" width="9.33203125" style="2" customWidth="1"/>
    <col min="8194" max="8194" width="16.33203125" style="2" bestFit="1" customWidth="1"/>
    <col min="8195" max="8195" width="11" style="2" customWidth="1"/>
    <col min="8196" max="8196" width="18.33203125" style="2" bestFit="1" customWidth="1"/>
    <col min="8197" max="8197" width="10.5" style="2" bestFit="1" customWidth="1"/>
    <col min="8198" max="8198" width="12.83203125" style="2" bestFit="1" customWidth="1"/>
    <col min="8199" max="8199" width="14.66015625" style="2" bestFit="1" customWidth="1"/>
    <col min="8200" max="8200" width="17.66015625" style="2" bestFit="1" customWidth="1"/>
    <col min="8201" max="8202" width="7.83203125" style="2" bestFit="1" customWidth="1"/>
    <col min="8203" max="8449" width="9.33203125" style="2" customWidth="1"/>
    <col min="8450" max="8450" width="16.33203125" style="2" bestFit="1" customWidth="1"/>
    <col min="8451" max="8451" width="11" style="2" customWidth="1"/>
    <col min="8452" max="8452" width="18.33203125" style="2" bestFit="1" customWidth="1"/>
    <col min="8453" max="8453" width="10.5" style="2" bestFit="1" customWidth="1"/>
    <col min="8454" max="8454" width="12.83203125" style="2" bestFit="1" customWidth="1"/>
    <col min="8455" max="8455" width="14.66015625" style="2" bestFit="1" customWidth="1"/>
    <col min="8456" max="8456" width="17.66015625" style="2" bestFit="1" customWidth="1"/>
    <col min="8457" max="8458" width="7.83203125" style="2" bestFit="1" customWidth="1"/>
    <col min="8459" max="8705" width="9.33203125" style="2" customWidth="1"/>
    <col min="8706" max="8706" width="16.33203125" style="2" bestFit="1" customWidth="1"/>
    <col min="8707" max="8707" width="11" style="2" customWidth="1"/>
    <col min="8708" max="8708" width="18.33203125" style="2" bestFit="1" customWidth="1"/>
    <col min="8709" max="8709" width="10.5" style="2" bestFit="1" customWidth="1"/>
    <col min="8710" max="8710" width="12.83203125" style="2" bestFit="1" customWidth="1"/>
    <col min="8711" max="8711" width="14.66015625" style="2" bestFit="1" customWidth="1"/>
    <col min="8712" max="8712" width="17.66015625" style="2" bestFit="1" customWidth="1"/>
    <col min="8713" max="8714" width="7.83203125" style="2" bestFit="1" customWidth="1"/>
    <col min="8715" max="8961" width="9.33203125" style="2" customWidth="1"/>
    <col min="8962" max="8962" width="16.33203125" style="2" bestFit="1" customWidth="1"/>
    <col min="8963" max="8963" width="11" style="2" customWidth="1"/>
    <col min="8964" max="8964" width="18.33203125" style="2" bestFit="1" customWidth="1"/>
    <col min="8965" max="8965" width="10.5" style="2" bestFit="1" customWidth="1"/>
    <col min="8966" max="8966" width="12.83203125" style="2" bestFit="1" customWidth="1"/>
    <col min="8967" max="8967" width="14.66015625" style="2" bestFit="1" customWidth="1"/>
    <col min="8968" max="8968" width="17.66015625" style="2" bestFit="1" customWidth="1"/>
    <col min="8969" max="8970" width="7.83203125" style="2" bestFit="1" customWidth="1"/>
    <col min="8971" max="9217" width="9.33203125" style="2" customWidth="1"/>
    <col min="9218" max="9218" width="16.33203125" style="2" bestFit="1" customWidth="1"/>
    <col min="9219" max="9219" width="11" style="2" customWidth="1"/>
    <col min="9220" max="9220" width="18.33203125" style="2" bestFit="1" customWidth="1"/>
    <col min="9221" max="9221" width="10.5" style="2" bestFit="1" customWidth="1"/>
    <col min="9222" max="9222" width="12.83203125" style="2" bestFit="1" customWidth="1"/>
    <col min="9223" max="9223" width="14.66015625" style="2" bestFit="1" customWidth="1"/>
    <col min="9224" max="9224" width="17.66015625" style="2" bestFit="1" customWidth="1"/>
    <col min="9225" max="9226" width="7.83203125" style="2" bestFit="1" customWidth="1"/>
    <col min="9227" max="9473" width="9.33203125" style="2" customWidth="1"/>
    <col min="9474" max="9474" width="16.33203125" style="2" bestFit="1" customWidth="1"/>
    <col min="9475" max="9475" width="11" style="2" customWidth="1"/>
    <col min="9476" max="9476" width="18.33203125" style="2" bestFit="1" customWidth="1"/>
    <col min="9477" max="9477" width="10.5" style="2" bestFit="1" customWidth="1"/>
    <col min="9478" max="9478" width="12.83203125" style="2" bestFit="1" customWidth="1"/>
    <col min="9479" max="9479" width="14.66015625" style="2" bestFit="1" customWidth="1"/>
    <col min="9480" max="9480" width="17.66015625" style="2" bestFit="1" customWidth="1"/>
    <col min="9481" max="9482" width="7.83203125" style="2" bestFit="1" customWidth="1"/>
    <col min="9483" max="9729" width="9.33203125" style="2" customWidth="1"/>
    <col min="9730" max="9730" width="16.33203125" style="2" bestFit="1" customWidth="1"/>
    <col min="9731" max="9731" width="11" style="2" customWidth="1"/>
    <col min="9732" max="9732" width="18.33203125" style="2" bestFit="1" customWidth="1"/>
    <col min="9733" max="9733" width="10.5" style="2" bestFit="1" customWidth="1"/>
    <col min="9734" max="9734" width="12.83203125" style="2" bestFit="1" customWidth="1"/>
    <col min="9735" max="9735" width="14.66015625" style="2" bestFit="1" customWidth="1"/>
    <col min="9736" max="9736" width="17.66015625" style="2" bestFit="1" customWidth="1"/>
    <col min="9737" max="9738" width="7.83203125" style="2" bestFit="1" customWidth="1"/>
    <col min="9739" max="9985" width="9.33203125" style="2" customWidth="1"/>
    <col min="9986" max="9986" width="16.33203125" style="2" bestFit="1" customWidth="1"/>
    <col min="9987" max="9987" width="11" style="2" customWidth="1"/>
    <col min="9988" max="9988" width="18.33203125" style="2" bestFit="1" customWidth="1"/>
    <col min="9989" max="9989" width="10.5" style="2" bestFit="1" customWidth="1"/>
    <col min="9990" max="9990" width="12.83203125" style="2" bestFit="1" customWidth="1"/>
    <col min="9991" max="9991" width="14.66015625" style="2" bestFit="1" customWidth="1"/>
    <col min="9992" max="9992" width="17.66015625" style="2" bestFit="1" customWidth="1"/>
    <col min="9993" max="9994" width="7.83203125" style="2" bestFit="1" customWidth="1"/>
    <col min="9995" max="10241" width="9.33203125" style="2" customWidth="1"/>
    <col min="10242" max="10242" width="16.33203125" style="2" bestFit="1" customWidth="1"/>
    <col min="10243" max="10243" width="11" style="2" customWidth="1"/>
    <col min="10244" max="10244" width="18.33203125" style="2" bestFit="1" customWidth="1"/>
    <col min="10245" max="10245" width="10.5" style="2" bestFit="1" customWidth="1"/>
    <col min="10246" max="10246" width="12.83203125" style="2" bestFit="1" customWidth="1"/>
    <col min="10247" max="10247" width="14.66015625" style="2" bestFit="1" customWidth="1"/>
    <col min="10248" max="10248" width="17.66015625" style="2" bestFit="1" customWidth="1"/>
    <col min="10249" max="10250" width="7.83203125" style="2" bestFit="1" customWidth="1"/>
    <col min="10251" max="10497" width="9.33203125" style="2" customWidth="1"/>
    <col min="10498" max="10498" width="16.33203125" style="2" bestFit="1" customWidth="1"/>
    <col min="10499" max="10499" width="11" style="2" customWidth="1"/>
    <col min="10500" max="10500" width="18.33203125" style="2" bestFit="1" customWidth="1"/>
    <col min="10501" max="10501" width="10.5" style="2" bestFit="1" customWidth="1"/>
    <col min="10502" max="10502" width="12.83203125" style="2" bestFit="1" customWidth="1"/>
    <col min="10503" max="10503" width="14.66015625" style="2" bestFit="1" customWidth="1"/>
    <col min="10504" max="10504" width="17.66015625" style="2" bestFit="1" customWidth="1"/>
    <col min="10505" max="10506" width="7.83203125" style="2" bestFit="1" customWidth="1"/>
    <col min="10507" max="10753" width="9.33203125" style="2" customWidth="1"/>
    <col min="10754" max="10754" width="16.33203125" style="2" bestFit="1" customWidth="1"/>
    <col min="10755" max="10755" width="11" style="2" customWidth="1"/>
    <col min="10756" max="10756" width="18.33203125" style="2" bestFit="1" customWidth="1"/>
    <col min="10757" max="10757" width="10.5" style="2" bestFit="1" customWidth="1"/>
    <col min="10758" max="10758" width="12.83203125" style="2" bestFit="1" customWidth="1"/>
    <col min="10759" max="10759" width="14.66015625" style="2" bestFit="1" customWidth="1"/>
    <col min="10760" max="10760" width="17.66015625" style="2" bestFit="1" customWidth="1"/>
    <col min="10761" max="10762" width="7.83203125" style="2" bestFit="1" customWidth="1"/>
    <col min="10763" max="11009" width="9.33203125" style="2" customWidth="1"/>
    <col min="11010" max="11010" width="16.33203125" style="2" bestFit="1" customWidth="1"/>
    <col min="11011" max="11011" width="11" style="2" customWidth="1"/>
    <col min="11012" max="11012" width="18.33203125" style="2" bestFit="1" customWidth="1"/>
    <col min="11013" max="11013" width="10.5" style="2" bestFit="1" customWidth="1"/>
    <col min="11014" max="11014" width="12.83203125" style="2" bestFit="1" customWidth="1"/>
    <col min="11015" max="11015" width="14.66015625" style="2" bestFit="1" customWidth="1"/>
    <col min="11016" max="11016" width="17.66015625" style="2" bestFit="1" customWidth="1"/>
    <col min="11017" max="11018" width="7.83203125" style="2" bestFit="1" customWidth="1"/>
    <col min="11019" max="11265" width="9.33203125" style="2" customWidth="1"/>
    <col min="11266" max="11266" width="16.33203125" style="2" bestFit="1" customWidth="1"/>
    <col min="11267" max="11267" width="11" style="2" customWidth="1"/>
    <col min="11268" max="11268" width="18.33203125" style="2" bestFit="1" customWidth="1"/>
    <col min="11269" max="11269" width="10.5" style="2" bestFit="1" customWidth="1"/>
    <col min="11270" max="11270" width="12.83203125" style="2" bestFit="1" customWidth="1"/>
    <col min="11271" max="11271" width="14.66015625" style="2" bestFit="1" customWidth="1"/>
    <col min="11272" max="11272" width="17.66015625" style="2" bestFit="1" customWidth="1"/>
    <col min="11273" max="11274" width="7.83203125" style="2" bestFit="1" customWidth="1"/>
    <col min="11275" max="11521" width="9.33203125" style="2" customWidth="1"/>
    <col min="11522" max="11522" width="16.33203125" style="2" bestFit="1" customWidth="1"/>
    <col min="11523" max="11523" width="11" style="2" customWidth="1"/>
    <col min="11524" max="11524" width="18.33203125" style="2" bestFit="1" customWidth="1"/>
    <col min="11525" max="11525" width="10.5" style="2" bestFit="1" customWidth="1"/>
    <col min="11526" max="11526" width="12.83203125" style="2" bestFit="1" customWidth="1"/>
    <col min="11527" max="11527" width="14.66015625" style="2" bestFit="1" customWidth="1"/>
    <col min="11528" max="11528" width="17.66015625" style="2" bestFit="1" customWidth="1"/>
    <col min="11529" max="11530" width="7.83203125" style="2" bestFit="1" customWidth="1"/>
    <col min="11531" max="11777" width="9.33203125" style="2" customWidth="1"/>
    <col min="11778" max="11778" width="16.33203125" style="2" bestFit="1" customWidth="1"/>
    <col min="11779" max="11779" width="11" style="2" customWidth="1"/>
    <col min="11780" max="11780" width="18.33203125" style="2" bestFit="1" customWidth="1"/>
    <col min="11781" max="11781" width="10.5" style="2" bestFit="1" customWidth="1"/>
    <col min="11782" max="11782" width="12.83203125" style="2" bestFit="1" customWidth="1"/>
    <col min="11783" max="11783" width="14.66015625" style="2" bestFit="1" customWidth="1"/>
    <col min="11784" max="11784" width="17.66015625" style="2" bestFit="1" customWidth="1"/>
    <col min="11785" max="11786" width="7.83203125" style="2" bestFit="1" customWidth="1"/>
    <col min="11787" max="12033" width="9.33203125" style="2" customWidth="1"/>
    <col min="12034" max="12034" width="16.33203125" style="2" bestFit="1" customWidth="1"/>
    <col min="12035" max="12035" width="11" style="2" customWidth="1"/>
    <col min="12036" max="12036" width="18.33203125" style="2" bestFit="1" customWidth="1"/>
    <col min="12037" max="12037" width="10.5" style="2" bestFit="1" customWidth="1"/>
    <col min="12038" max="12038" width="12.83203125" style="2" bestFit="1" customWidth="1"/>
    <col min="12039" max="12039" width="14.66015625" style="2" bestFit="1" customWidth="1"/>
    <col min="12040" max="12040" width="17.66015625" style="2" bestFit="1" customWidth="1"/>
    <col min="12041" max="12042" width="7.83203125" style="2" bestFit="1" customWidth="1"/>
    <col min="12043" max="12289" width="9.33203125" style="2" customWidth="1"/>
    <col min="12290" max="12290" width="16.33203125" style="2" bestFit="1" customWidth="1"/>
    <col min="12291" max="12291" width="11" style="2" customWidth="1"/>
    <col min="12292" max="12292" width="18.33203125" style="2" bestFit="1" customWidth="1"/>
    <col min="12293" max="12293" width="10.5" style="2" bestFit="1" customWidth="1"/>
    <col min="12294" max="12294" width="12.83203125" style="2" bestFit="1" customWidth="1"/>
    <col min="12295" max="12295" width="14.66015625" style="2" bestFit="1" customWidth="1"/>
    <col min="12296" max="12296" width="17.66015625" style="2" bestFit="1" customWidth="1"/>
    <col min="12297" max="12298" width="7.83203125" style="2" bestFit="1" customWidth="1"/>
    <col min="12299" max="12545" width="9.33203125" style="2" customWidth="1"/>
    <col min="12546" max="12546" width="16.33203125" style="2" bestFit="1" customWidth="1"/>
    <col min="12547" max="12547" width="11" style="2" customWidth="1"/>
    <col min="12548" max="12548" width="18.33203125" style="2" bestFit="1" customWidth="1"/>
    <col min="12549" max="12549" width="10.5" style="2" bestFit="1" customWidth="1"/>
    <col min="12550" max="12550" width="12.83203125" style="2" bestFit="1" customWidth="1"/>
    <col min="12551" max="12551" width="14.66015625" style="2" bestFit="1" customWidth="1"/>
    <col min="12552" max="12552" width="17.66015625" style="2" bestFit="1" customWidth="1"/>
    <col min="12553" max="12554" width="7.83203125" style="2" bestFit="1" customWidth="1"/>
    <col min="12555" max="12801" width="9.33203125" style="2" customWidth="1"/>
    <col min="12802" max="12802" width="16.33203125" style="2" bestFit="1" customWidth="1"/>
    <col min="12803" max="12803" width="11" style="2" customWidth="1"/>
    <col min="12804" max="12804" width="18.33203125" style="2" bestFit="1" customWidth="1"/>
    <col min="12805" max="12805" width="10.5" style="2" bestFit="1" customWidth="1"/>
    <col min="12806" max="12806" width="12.83203125" style="2" bestFit="1" customWidth="1"/>
    <col min="12807" max="12807" width="14.66015625" style="2" bestFit="1" customWidth="1"/>
    <col min="12808" max="12808" width="17.66015625" style="2" bestFit="1" customWidth="1"/>
    <col min="12809" max="12810" width="7.83203125" style="2" bestFit="1" customWidth="1"/>
    <col min="12811" max="13057" width="9.33203125" style="2" customWidth="1"/>
    <col min="13058" max="13058" width="16.33203125" style="2" bestFit="1" customWidth="1"/>
    <col min="13059" max="13059" width="11" style="2" customWidth="1"/>
    <col min="13060" max="13060" width="18.33203125" style="2" bestFit="1" customWidth="1"/>
    <col min="13061" max="13061" width="10.5" style="2" bestFit="1" customWidth="1"/>
    <col min="13062" max="13062" width="12.83203125" style="2" bestFit="1" customWidth="1"/>
    <col min="13063" max="13063" width="14.66015625" style="2" bestFit="1" customWidth="1"/>
    <col min="13064" max="13064" width="17.66015625" style="2" bestFit="1" customWidth="1"/>
    <col min="13065" max="13066" width="7.83203125" style="2" bestFit="1" customWidth="1"/>
    <col min="13067" max="13313" width="9.33203125" style="2" customWidth="1"/>
    <col min="13314" max="13314" width="16.33203125" style="2" bestFit="1" customWidth="1"/>
    <col min="13315" max="13315" width="11" style="2" customWidth="1"/>
    <col min="13316" max="13316" width="18.33203125" style="2" bestFit="1" customWidth="1"/>
    <col min="13317" max="13317" width="10.5" style="2" bestFit="1" customWidth="1"/>
    <col min="13318" max="13318" width="12.83203125" style="2" bestFit="1" customWidth="1"/>
    <col min="13319" max="13319" width="14.66015625" style="2" bestFit="1" customWidth="1"/>
    <col min="13320" max="13320" width="17.66015625" style="2" bestFit="1" customWidth="1"/>
    <col min="13321" max="13322" width="7.83203125" style="2" bestFit="1" customWidth="1"/>
    <col min="13323" max="13569" width="9.33203125" style="2" customWidth="1"/>
    <col min="13570" max="13570" width="16.33203125" style="2" bestFit="1" customWidth="1"/>
    <col min="13571" max="13571" width="11" style="2" customWidth="1"/>
    <col min="13572" max="13572" width="18.33203125" style="2" bestFit="1" customWidth="1"/>
    <col min="13573" max="13573" width="10.5" style="2" bestFit="1" customWidth="1"/>
    <col min="13574" max="13574" width="12.83203125" style="2" bestFit="1" customWidth="1"/>
    <col min="13575" max="13575" width="14.66015625" style="2" bestFit="1" customWidth="1"/>
    <col min="13576" max="13576" width="17.66015625" style="2" bestFit="1" customWidth="1"/>
    <col min="13577" max="13578" width="7.83203125" style="2" bestFit="1" customWidth="1"/>
    <col min="13579" max="13825" width="9.33203125" style="2" customWidth="1"/>
    <col min="13826" max="13826" width="16.33203125" style="2" bestFit="1" customWidth="1"/>
    <col min="13827" max="13827" width="11" style="2" customWidth="1"/>
    <col min="13828" max="13828" width="18.33203125" style="2" bestFit="1" customWidth="1"/>
    <col min="13829" max="13829" width="10.5" style="2" bestFit="1" customWidth="1"/>
    <col min="13830" max="13830" width="12.83203125" style="2" bestFit="1" customWidth="1"/>
    <col min="13831" max="13831" width="14.66015625" style="2" bestFit="1" customWidth="1"/>
    <col min="13832" max="13832" width="17.66015625" style="2" bestFit="1" customWidth="1"/>
    <col min="13833" max="13834" width="7.83203125" style="2" bestFit="1" customWidth="1"/>
    <col min="13835" max="14081" width="9.33203125" style="2" customWidth="1"/>
    <col min="14082" max="14082" width="16.33203125" style="2" bestFit="1" customWidth="1"/>
    <col min="14083" max="14083" width="11" style="2" customWidth="1"/>
    <col min="14084" max="14084" width="18.33203125" style="2" bestFit="1" customWidth="1"/>
    <col min="14085" max="14085" width="10.5" style="2" bestFit="1" customWidth="1"/>
    <col min="14086" max="14086" width="12.83203125" style="2" bestFit="1" customWidth="1"/>
    <col min="14087" max="14087" width="14.66015625" style="2" bestFit="1" customWidth="1"/>
    <col min="14088" max="14088" width="17.66015625" style="2" bestFit="1" customWidth="1"/>
    <col min="14089" max="14090" width="7.83203125" style="2" bestFit="1" customWidth="1"/>
    <col min="14091" max="14337" width="9.33203125" style="2" customWidth="1"/>
    <col min="14338" max="14338" width="16.33203125" style="2" bestFit="1" customWidth="1"/>
    <col min="14339" max="14339" width="11" style="2" customWidth="1"/>
    <col min="14340" max="14340" width="18.33203125" style="2" bestFit="1" customWidth="1"/>
    <col min="14341" max="14341" width="10.5" style="2" bestFit="1" customWidth="1"/>
    <col min="14342" max="14342" width="12.83203125" style="2" bestFit="1" customWidth="1"/>
    <col min="14343" max="14343" width="14.66015625" style="2" bestFit="1" customWidth="1"/>
    <col min="14344" max="14344" width="17.66015625" style="2" bestFit="1" customWidth="1"/>
    <col min="14345" max="14346" width="7.83203125" style="2" bestFit="1" customWidth="1"/>
    <col min="14347" max="14593" width="9.33203125" style="2" customWidth="1"/>
    <col min="14594" max="14594" width="16.33203125" style="2" bestFit="1" customWidth="1"/>
    <col min="14595" max="14595" width="11" style="2" customWidth="1"/>
    <col min="14596" max="14596" width="18.33203125" style="2" bestFit="1" customWidth="1"/>
    <col min="14597" max="14597" width="10.5" style="2" bestFit="1" customWidth="1"/>
    <col min="14598" max="14598" width="12.83203125" style="2" bestFit="1" customWidth="1"/>
    <col min="14599" max="14599" width="14.66015625" style="2" bestFit="1" customWidth="1"/>
    <col min="14600" max="14600" width="17.66015625" style="2" bestFit="1" customWidth="1"/>
    <col min="14601" max="14602" width="7.83203125" style="2" bestFit="1" customWidth="1"/>
    <col min="14603" max="14849" width="9.33203125" style="2" customWidth="1"/>
    <col min="14850" max="14850" width="16.33203125" style="2" bestFit="1" customWidth="1"/>
    <col min="14851" max="14851" width="11" style="2" customWidth="1"/>
    <col min="14852" max="14852" width="18.33203125" style="2" bestFit="1" customWidth="1"/>
    <col min="14853" max="14853" width="10.5" style="2" bestFit="1" customWidth="1"/>
    <col min="14854" max="14854" width="12.83203125" style="2" bestFit="1" customWidth="1"/>
    <col min="14855" max="14855" width="14.66015625" style="2" bestFit="1" customWidth="1"/>
    <col min="14856" max="14856" width="17.66015625" style="2" bestFit="1" customWidth="1"/>
    <col min="14857" max="14858" width="7.83203125" style="2" bestFit="1" customWidth="1"/>
    <col min="14859" max="15105" width="9.33203125" style="2" customWidth="1"/>
    <col min="15106" max="15106" width="16.33203125" style="2" bestFit="1" customWidth="1"/>
    <col min="15107" max="15107" width="11" style="2" customWidth="1"/>
    <col min="15108" max="15108" width="18.33203125" style="2" bestFit="1" customWidth="1"/>
    <col min="15109" max="15109" width="10.5" style="2" bestFit="1" customWidth="1"/>
    <col min="15110" max="15110" width="12.83203125" style="2" bestFit="1" customWidth="1"/>
    <col min="15111" max="15111" width="14.66015625" style="2" bestFit="1" customWidth="1"/>
    <col min="15112" max="15112" width="17.66015625" style="2" bestFit="1" customWidth="1"/>
    <col min="15113" max="15114" width="7.83203125" style="2" bestFit="1" customWidth="1"/>
    <col min="15115" max="15361" width="9.33203125" style="2" customWidth="1"/>
    <col min="15362" max="15362" width="16.33203125" style="2" bestFit="1" customWidth="1"/>
    <col min="15363" max="15363" width="11" style="2" customWidth="1"/>
    <col min="15364" max="15364" width="18.33203125" style="2" bestFit="1" customWidth="1"/>
    <col min="15365" max="15365" width="10.5" style="2" bestFit="1" customWidth="1"/>
    <col min="15366" max="15366" width="12.83203125" style="2" bestFit="1" customWidth="1"/>
    <col min="15367" max="15367" width="14.66015625" style="2" bestFit="1" customWidth="1"/>
    <col min="15368" max="15368" width="17.66015625" style="2" bestFit="1" customWidth="1"/>
    <col min="15369" max="15370" width="7.83203125" style="2" bestFit="1" customWidth="1"/>
    <col min="15371" max="15617" width="9.33203125" style="2" customWidth="1"/>
    <col min="15618" max="15618" width="16.33203125" style="2" bestFit="1" customWidth="1"/>
    <col min="15619" max="15619" width="11" style="2" customWidth="1"/>
    <col min="15620" max="15620" width="18.33203125" style="2" bestFit="1" customWidth="1"/>
    <col min="15621" max="15621" width="10.5" style="2" bestFit="1" customWidth="1"/>
    <col min="15622" max="15622" width="12.83203125" style="2" bestFit="1" customWidth="1"/>
    <col min="15623" max="15623" width="14.66015625" style="2" bestFit="1" customWidth="1"/>
    <col min="15624" max="15624" width="17.66015625" style="2" bestFit="1" customWidth="1"/>
    <col min="15625" max="15626" width="7.83203125" style="2" bestFit="1" customWidth="1"/>
    <col min="15627" max="15873" width="9.33203125" style="2" customWidth="1"/>
    <col min="15874" max="15874" width="16.33203125" style="2" bestFit="1" customWidth="1"/>
    <col min="15875" max="15875" width="11" style="2" customWidth="1"/>
    <col min="15876" max="15876" width="18.33203125" style="2" bestFit="1" customWidth="1"/>
    <col min="15877" max="15877" width="10.5" style="2" bestFit="1" customWidth="1"/>
    <col min="15878" max="15878" width="12.83203125" style="2" bestFit="1" customWidth="1"/>
    <col min="15879" max="15879" width="14.66015625" style="2" bestFit="1" customWidth="1"/>
    <col min="15880" max="15880" width="17.66015625" style="2" bestFit="1" customWidth="1"/>
    <col min="15881" max="15882" width="7.83203125" style="2" bestFit="1" customWidth="1"/>
    <col min="15883" max="16129" width="9.33203125" style="2" customWidth="1"/>
    <col min="16130" max="16130" width="16.33203125" style="2" bestFit="1" customWidth="1"/>
    <col min="16131" max="16131" width="11" style="2" customWidth="1"/>
    <col min="16132" max="16132" width="18.33203125" style="2" bestFit="1" customWidth="1"/>
    <col min="16133" max="16133" width="10.5" style="2" bestFit="1" customWidth="1"/>
    <col min="16134" max="16134" width="12.83203125" style="2" bestFit="1" customWidth="1"/>
    <col min="16135" max="16135" width="14.66015625" style="2" bestFit="1" customWidth="1"/>
    <col min="16136" max="16136" width="17.66015625" style="2" bestFit="1" customWidth="1"/>
    <col min="16137" max="16138" width="7.83203125" style="2" bestFit="1" customWidth="1"/>
    <col min="16139" max="16384" width="9.33203125" style="2" customWidth="1"/>
  </cols>
  <sheetData>
    <row r="1" spans="1:4">
      <c r="A1" s="1" t="s">
        <v>0</v>
      </c>
      <c r="B1" s="1"/>
      <c r="C1" s="1"/>
      <c r="D1" s="1" t="s">
        <v>1</v>
      </c>
    </row>
    <row r="2" spans="1:4">
      <c r="A2" s="1" t="s">
        <v>87</v>
      </c>
      <c r="B2" s="1"/>
      <c r="C2" s="1"/>
      <c r="D2" s="1"/>
    </row>
    <row r="3" spans="1:4">
      <c r="A3" s="1" t="s">
        <v>2</v>
      </c>
      <c r="B3" s="1"/>
      <c r="C3" s="1"/>
      <c r="D3" s="1"/>
    </row>
    <row r="5" spans="1:1">
      <c r="A5" s="2" t="s">
        <v>3</v>
      </c>
    </row>
    <row r="7" spans="1:1">
      <c r="A7" s="1" t="s">
        <v>4</v>
      </c>
    </row>
    <row r="8" spans="1:1">
      <c r="A8" s="2" t="s">
        <v>5</v>
      </c>
    </row>
    <row r="9" spans="3:7">
      <c r="C9" s="3" t="s">
        <v>6</v>
      </c>
      <c r="D9" s="4" t="s">
        <v>7</v>
      </c>
      <c r="E9" s="3" t="s">
        <v>8</v>
      </c>
      <c r="F9" s="4" t="s">
        <v>9</v>
      </c>
      <c r="G9" s="3" t="s">
        <v>10</v>
      </c>
    </row>
    <row r="10" spans="3:7">
      <c r="C10" s="5" t="s">
        <v>11</v>
      </c>
      <c r="D10" s="6" t="s">
        <v>12</v>
      </c>
      <c r="E10" s="5" t="s">
        <v>13</v>
      </c>
      <c r="F10" s="6" t="s">
        <v>14</v>
      </c>
      <c r="G10" s="5" t="s">
        <v>15</v>
      </c>
    </row>
    <row r="11" spans="3:7">
      <c r="C11" s="7"/>
      <c r="D11" s="8"/>
      <c r="E11" s="7" t="s">
        <v>16</v>
      </c>
      <c r="F11" s="8" t="s">
        <v>17</v>
      </c>
      <c r="G11" s="7" t="s">
        <v>18</v>
      </c>
    </row>
    <row r="12" spans="3:7">
      <c r="C12" s="3" t="s">
        <v>92</v>
      </c>
      <c r="D12" s="132">
        <v>143.5</v>
      </c>
      <c r="E12" s="127">
        <v>2943.12</v>
      </c>
      <c r="F12" s="133">
        <f>(E12*D12/1000)</f>
        <v>422.33772</v>
      </c>
      <c r="G12" s="134"/>
    </row>
    <row r="13" spans="3:7">
      <c r="C13" s="11" t="s">
        <v>93</v>
      </c>
      <c r="D13" s="47">
        <v>878.75</v>
      </c>
      <c r="E13" s="13">
        <v>2943.12</v>
      </c>
      <c r="F13" s="44">
        <f>(E13*D13/1000)</f>
        <v>2586.2666999999997</v>
      </c>
      <c r="G13" s="14"/>
    </row>
    <row r="14" spans="3:7">
      <c r="C14" s="11" t="s">
        <v>94</v>
      </c>
      <c r="D14" s="47">
        <v>1605.5</v>
      </c>
      <c r="E14" s="13">
        <v>2133.2</v>
      </c>
      <c r="F14" s="44">
        <f>(E14*D14/1000)</f>
        <v>3424.8525999999997</v>
      </c>
      <c r="G14" s="14"/>
    </row>
    <row r="15" spans="3:7">
      <c r="C15" s="11" t="s">
        <v>95</v>
      </c>
      <c r="D15" s="47">
        <v>3224.5</v>
      </c>
      <c r="E15" s="13">
        <v>1893.73</v>
      </c>
      <c r="F15" s="44">
        <f>(E15*D15/1000)</f>
        <v>6106.332385</v>
      </c>
      <c r="G15" s="14"/>
    </row>
    <row r="16" spans="3:7">
      <c r="C16" s="11" t="s">
        <v>107</v>
      </c>
      <c r="D16" s="47">
        <v>4728.5</v>
      </c>
      <c r="E16" s="13">
        <v>2052.05</v>
      </c>
      <c r="F16" s="44">
        <f>(E16*D16/1000)</f>
        <v>9703.118425</v>
      </c>
      <c r="G16" s="14"/>
    </row>
    <row r="17" spans="3:7">
      <c r="C17" s="11" t="s">
        <v>108</v>
      </c>
      <c r="D17" s="47">
        <v>1491.5</v>
      </c>
      <c r="E17" s="13">
        <v>2294.38</v>
      </c>
      <c r="F17" s="44">
        <f>(E17*D17/1000)</f>
        <v>3422.06777</v>
      </c>
      <c r="G17" s="14"/>
    </row>
    <row r="18" spans="3:7">
      <c r="C18" s="15" t="s">
        <v>96</v>
      </c>
      <c r="D18" s="47">
        <v>3952.5</v>
      </c>
      <c r="E18" s="13">
        <v>2971.74</v>
      </c>
      <c r="F18" s="44">
        <f>(E18*D18/1000)</f>
        <v>11745.80235</v>
      </c>
      <c r="G18" s="14"/>
    </row>
    <row r="19" spans="3:7">
      <c r="C19" s="15" t="s">
        <v>97</v>
      </c>
      <c r="D19" s="47">
        <v>1283</v>
      </c>
      <c r="E19" s="13">
        <v>3838.78</v>
      </c>
      <c r="F19" s="44">
        <f>(E19*D19/1000)</f>
        <v>4925.15474</v>
      </c>
      <c r="G19" s="14"/>
    </row>
    <row r="20" spans="3:7">
      <c r="C20" s="16" t="s">
        <v>98</v>
      </c>
      <c r="D20" s="47">
        <v>1300.5</v>
      </c>
      <c r="E20" s="17">
        <v>4172.89</v>
      </c>
      <c r="F20" s="44">
        <f>(E20*D20/1000)</f>
        <v>5426.843445</v>
      </c>
      <c r="G20" s="14"/>
    </row>
    <row r="21" spans="3:7">
      <c r="C21" s="11" t="s">
        <v>99</v>
      </c>
      <c r="D21" s="47">
        <v>28.5</v>
      </c>
      <c r="E21" s="13">
        <v>2943.12</v>
      </c>
      <c r="F21" s="44">
        <f>(E21*D21/1000)</f>
        <v>83.87892</v>
      </c>
      <c r="G21" s="14"/>
    </row>
    <row r="22" spans="3:7">
      <c r="C22" s="11" t="s">
        <v>100</v>
      </c>
      <c r="D22" s="47">
        <v>27</v>
      </c>
      <c r="E22" s="13">
        <v>2133.2</v>
      </c>
      <c r="F22" s="44">
        <f>(E22*D22/1000)</f>
        <v>57.596399999999996</v>
      </c>
      <c r="G22" s="14"/>
    </row>
    <row r="23" spans="3:7">
      <c r="C23" s="11" t="s">
        <v>101</v>
      </c>
      <c r="D23" s="47">
        <v>57.5</v>
      </c>
      <c r="E23" s="13">
        <v>1893.73</v>
      </c>
      <c r="F23" s="44">
        <f>(E23*D23/1000)</f>
        <v>108.889475</v>
      </c>
      <c r="G23" s="14"/>
    </row>
    <row r="24" spans="3:7">
      <c r="C24" s="11" t="s">
        <v>102</v>
      </c>
      <c r="D24" s="47">
        <v>63</v>
      </c>
      <c r="E24" s="13">
        <v>2052.05</v>
      </c>
      <c r="F24" s="44">
        <f>(E24*D24/1000)</f>
        <v>129.27915000000002</v>
      </c>
      <c r="G24" s="14"/>
    </row>
    <row r="25" spans="3:7">
      <c r="C25" s="11" t="s">
        <v>103</v>
      </c>
      <c r="D25" s="47">
        <v>0</v>
      </c>
      <c r="E25" s="13">
        <v>2294.38</v>
      </c>
      <c r="F25" s="44">
        <f>(E25*D25/1000)</f>
        <v>0</v>
      </c>
      <c r="G25" s="14"/>
    </row>
    <row r="26" spans="3:7">
      <c r="C26" s="15" t="s">
        <v>104</v>
      </c>
      <c r="D26" s="47">
        <v>469</v>
      </c>
      <c r="E26" s="13">
        <v>2971.74</v>
      </c>
      <c r="F26" s="44">
        <f>(E26*D26/1000)</f>
        <v>1393.7460599999997</v>
      </c>
      <c r="G26" s="14"/>
    </row>
    <row r="27" spans="3:7">
      <c r="C27" s="15" t="s">
        <v>105</v>
      </c>
      <c r="D27" s="47">
        <v>120.5</v>
      </c>
      <c r="E27" s="13">
        <v>3838.78</v>
      </c>
      <c r="F27" s="44">
        <f>(E27*D27/1000)</f>
        <v>462.57299000000006</v>
      </c>
      <c r="G27" s="14"/>
    </row>
    <row r="28" spans="3:7">
      <c r="C28" s="16" t="s">
        <v>106</v>
      </c>
      <c r="D28" s="135">
        <v>125.5</v>
      </c>
      <c r="E28" s="17">
        <v>4172.89</v>
      </c>
      <c r="F28" s="50">
        <f>(E28*D28/1000)</f>
        <v>523.69769500000007</v>
      </c>
      <c r="G28" s="84"/>
    </row>
    <row r="29" spans="3:7">
      <c r="C29" s="130"/>
      <c r="D29" s="12"/>
      <c r="E29" s="131"/>
      <c r="F29" s="10"/>
      <c r="G29" s="14"/>
    </row>
    <row r="30" spans="3:7">
      <c r="C30" s="130"/>
      <c r="D30" s="12"/>
      <c r="E30" s="131"/>
      <c r="F30" s="10"/>
      <c r="G30" s="14"/>
    </row>
    <row r="31" spans="1:7">
      <c r="A31" s="1" t="s">
        <v>19</v>
      </c>
      <c r="B31" s="18" t="s">
        <v>20</v>
      </c>
      <c r="C31" s="19"/>
      <c r="D31" s="20">
        <f>D12</f>
        <v>143.5</v>
      </c>
      <c r="E31" s="21"/>
      <c r="F31" s="136">
        <f>F12</f>
        <v>422.33772</v>
      </c>
      <c r="G31" s="22">
        <f>F31*1000/836414</f>
        <v>0.50493860695779835</v>
      </c>
    </row>
    <row r="32" spans="2:10" s="1" customFormat="1">
      <c r="B32" s="23" t="s">
        <v>21</v>
      </c>
      <c r="C32" s="24"/>
      <c r="D32" s="25">
        <f>D13+D14+D15+D16+D17</f>
        <v>11928.75</v>
      </c>
      <c r="E32" s="26"/>
      <c r="F32" s="137">
        <f>F13+F14+F15+F16+F17</f>
        <v>25242.637880000002</v>
      </c>
      <c r="G32" s="27">
        <f>F32*1000/40547086</f>
        <v>0.62255122057353274</v>
      </c>
      <c r="H32" s="2"/>
      <c r="I32" s="2"/>
      <c r="J32" s="2"/>
    </row>
    <row r="33" spans="2:10" s="1" customFormat="1">
      <c r="B33" s="23" t="s">
        <v>109</v>
      </c>
      <c r="C33" s="24"/>
      <c r="D33" s="25">
        <f>D21+D22+D23+D24+D25+D26+D27+D28</f>
        <v>891</v>
      </c>
      <c r="E33" s="26"/>
      <c r="F33" s="137">
        <f>F21+F22+F23+F24+F25+F26+F27+F28</f>
        <v>2759.6606899999997</v>
      </c>
      <c r="G33" s="27">
        <f>F33*1000/4456858</f>
        <v>0.619194214848218</v>
      </c>
      <c r="H33" s="2"/>
      <c r="I33" s="2"/>
      <c r="J33" s="2"/>
    </row>
    <row r="34" spans="2:10" s="1" customFormat="1">
      <c r="B34" s="28" t="s">
        <v>22</v>
      </c>
      <c r="C34" s="24"/>
      <c r="D34" s="29">
        <f>D18+D19+D20</f>
        <v>6536</v>
      </c>
      <c r="E34" s="26"/>
      <c r="F34" s="138">
        <f>F18+F19+F20</f>
        <v>22097.800535000002</v>
      </c>
      <c r="G34" s="30">
        <f>F34*1000/35110761</f>
        <v>0.6293740125712457</v>
      </c>
      <c r="H34" s="2"/>
      <c r="I34" s="2"/>
      <c r="J34" s="2"/>
    </row>
    <row r="35" spans="2:7" s="1" customFormat="1">
      <c r="B35" s="31" t="s">
        <v>23</v>
      </c>
      <c r="C35" s="32"/>
      <c r="D35" s="29">
        <f>SUM(D31:D34)</f>
        <v>19499.25</v>
      </c>
      <c r="E35" s="33"/>
      <c r="F35" s="34">
        <f>SUM(F31:F34)</f>
        <v>50522.436825000004</v>
      </c>
      <c r="G35" s="30">
        <f>F35*1000/80951119</f>
        <v>0.62411041933836642</v>
      </c>
    </row>
    <row r="36" spans="6:6">
      <c r="F36" s="12"/>
    </row>
    <row r="37" spans="2:7">
      <c r="B37" s="35" t="s">
        <v>24</v>
      </c>
      <c r="C37" s="36"/>
      <c r="D37" s="37">
        <v>1625</v>
      </c>
      <c r="E37" s="37"/>
      <c r="F37" s="38">
        <v>5772.64</v>
      </c>
      <c r="G37" s="36"/>
    </row>
    <row r="38" spans="2:7">
      <c r="B38" s="35" t="s">
        <v>110</v>
      </c>
      <c r="C38" s="36"/>
      <c r="D38" s="37">
        <v>135</v>
      </c>
      <c r="E38" s="37"/>
      <c r="F38" s="38">
        <v>569.69</v>
      </c>
      <c r="G38" s="36"/>
    </row>
    <row r="40" spans="1:1">
      <c r="A40" s="2" t="s">
        <v>88</v>
      </c>
    </row>
    <row r="41" spans="1:1">
      <c r="A41" s="2" t="s">
        <v>89</v>
      </c>
    </row>
    <row r="42" spans="1:1">
      <c r="A42" s="2" t="s">
        <v>90</v>
      </c>
    </row>
    <row r="44" spans="1:1">
      <c r="A44" s="2" t="s">
        <v>25</v>
      </c>
    </row>
    <row r="45" spans="1:1">
      <c r="A45" s="2" t="s">
        <v>26</v>
      </c>
    </row>
    <row r="46" spans="4:7" ht="11.25">
      <c r="D46" s="39" t="s">
        <v>7</v>
      </c>
      <c r="E46" s="3" t="s">
        <v>8</v>
      </c>
      <c r="F46" s="4" t="s">
        <v>9</v>
      </c>
      <c r="G46" s="3" t="s">
        <v>10</v>
      </c>
    </row>
    <row r="47" spans="4:7" ht="11.25">
      <c r="D47" s="40" t="s">
        <v>12</v>
      </c>
      <c r="E47" s="5" t="s">
        <v>13</v>
      </c>
      <c r="F47" s="6" t="s">
        <v>14</v>
      </c>
      <c r="G47" s="5" t="s">
        <v>15</v>
      </c>
    </row>
    <row r="48" spans="4:7" ht="11.25">
      <c r="D48" s="41"/>
      <c r="E48" s="7" t="s">
        <v>16</v>
      </c>
      <c r="F48" s="8" t="s">
        <v>17</v>
      </c>
      <c r="G48" s="7" t="s">
        <v>18</v>
      </c>
    </row>
    <row r="49" spans="2:7" ht="11.25">
      <c r="B49" s="42" t="s">
        <v>27</v>
      </c>
      <c r="C49" s="43"/>
      <c r="D49" s="9">
        <v>33.1</v>
      </c>
      <c r="E49" s="126">
        <f>956.18+99.52</f>
        <v>1055.7</v>
      </c>
      <c r="F49" s="10">
        <f>(E49*D49/1000)</f>
        <v>34.943670000000004</v>
      </c>
      <c r="G49" s="22">
        <f>F49*1000/836414</f>
        <v>0.041777959240280535</v>
      </c>
    </row>
    <row r="50" spans="2:7" ht="11.25">
      <c r="B50" s="45" t="s">
        <v>21</v>
      </c>
      <c r="C50" s="46"/>
      <c r="D50" s="47">
        <f>1548.2</f>
        <v>1548.2</v>
      </c>
      <c r="E50" s="126">
        <f>956.18+99.52</f>
        <v>1055.7</v>
      </c>
      <c r="F50" s="10">
        <f>(E50*D50/1000)</f>
        <v>1634.4347400000001</v>
      </c>
      <c r="G50" s="27">
        <f>F50*1000/40547086</f>
        <v>0.040309548755242244</v>
      </c>
    </row>
    <row r="51" spans="2:7" ht="11.25">
      <c r="B51" s="45" t="s">
        <v>109</v>
      </c>
      <c r="C51" s="46"/>
      <c r="D51" s="62">
        <v>16.3</v>
      </c>
      <c r="E51" s="126">
        <f>956.18+99.52</f>
        <v>1055.7</v>
      </c>
      <c r="F51" s="73">
        <f>(E51*D51/1000)</f>
        <v>17.20791</v>
      </c>
      <c r="G51" s="144">
        <f>F51*1000/4456858</f>
        <v>0.00386099579569284</v>
      </c>
    </row>
    <row r="52" spans="2:7" ht="11.25">
      <c r="B52" s="48" t="s">
        <v>22</v>
      </c>
      <c r="C52" s="49"/>
      <c r="D52" s="65">
        <v>0</v>
      </c>
      <c r="E52" s="17"/>
      <c r="F52" s="75"/>
      <c r="G52" s="66">
        <v>0</v>
      </c>
    </row>
    <row r="53" spans="2:7" s="1" customFormat="1" ht="11.25">
      <c r="B53" s="51" t="s">
        <v>23</v>
      </c>
      <c r="C53" s="52"/>
      <c r="D53" s="53">
        <f>SUM(D49:D52)</f>
        <v>1597.6</v>
      </c>
      <c r="E53" s="54"/>
      <c r="F53" s="38">
        <f>SUM(F49:F52)</f>
        <v>1686.5863200000003</v>
      </c>
      <c r="G53" s="30">
        <f>F53*1000/80951119</f>
        <v>0.020834626387314058</v>
      </c>
    </row>
    <row r="55" spans="1:1" ht="11.25">
      <c r="A55" s="2" t="s">
        <v>28</v>
      </c>
    </row>
    <row r="56" spans="4:7" ht="11.25">
      <c r="D56" s="3" t="s">
        <v>7</v>
      </c>
      <c r="E56" s="4" t="s">
        <v>8</v>
      </c>
      <c r="F56" s="3" t="s">
        <v>9</v>
      </c>
      <c r="G56" s="55" t="s">
        <v>10</v>
      </c>
    </row>
    <row r="57" spans="4:7" ht="11.25">
      <c r="D57" s="5" t="s">
        <v>12</v>
      </c>
      <c r="E57" s="6" t="s">
        <v>13</v>
      </c>
      <c r="F57" s="5" t="s">
        <v>14</v>
      </c>
      <c r="G57" s="56" t="s">
        <v>15</v>
      </c>
    </row>
    <row r="58" spans="4:7" ht="11.25">
      <c r="D58" s="7"/>
      <c r="E58" s="8" t="s">
        <v>16</v>
      </c>
      <c r="F58" s="7" t="s">
        <v>17</v>
      </c>
      <c r="G58" s="57" t="s">
        <v>18</v>
      </c>
    </row>
    <row r="59" spans="2:7" ht="11.25">
      <c r="B59" s="42" t="s">
        <v>27</v>
      </c>
      <c r="C59" s="58"/>
      <c r="D59" s="59"/>
      <c r="E59" s="127"/>
      <c r="F59" s="128"/>
      <c r="G59" s="60">
        <v>0</v>
      </c>
    </row>
    <row r="60" spans="2:7" ht="11.25">
      <c r="B60" s="45" t="s">
        <v>21</v>
      </c>
      <c r="C60" s="61"/>
      <c r="D60" s="62">
        <v>74</v>
      </c>
      <c r="E60" s="13">
        <f>47972.18/D60</f>
        <v>648.27270270270276</v>
      </c>
      <c r="F60" s="73">
        <f>(E60*D60/1000)</f>
        <v>47.972180000000009</v>
      </c>
      <c r="G60" s="27">
        <f>F60*1000/40547086</f>
        <v>0.0011831227526436796</v>
      </c>
    </row>
    <row r="61" spans="2:7" ht="11.25">
      <c r="B61" s="45" t="s">
        <v>109</v>
      </c>
      <c r="C61" s="61"/>
      <c r="D61" s="62"/>
      <c r="E61" s="13"/>
      <c r="F61" s="73"/>
      <c r="G61" s="145">
        <v>0</v>
      </c>
    </row>
    <row r="62" spans="2:7" ht="11.25">
      <c r="B62" s="48" t="s">
        <v>22</v>
      </c>
      <c r="C62" s="64"/>
      <c r="D62" s="65"/>
      <c r="E62" s="17"/>
      <c r="F62" s="129"/>
      <c r="G62" s="146">
        <v>0</v>
      </c>
    </row>
    <row r="63" spans="2:7" ht="11.25">
      <c r="B63" s="51" t="s">
        <v>23</v>
      </c>
      <c r="C63" s="52"/>
      <c r="D63" s="53">
        <f>SUM(D60:D62)</f>
        <v>74</v>
      </c>
      <c r="E63" s="54"/>
      <c r="F63" s="38">
        <f>SUM(F60:F62)</f>
        <v>47.972180000000009</v>
      </c>
      <c r="G63" s="30">
        <f>F63*1000/80951119</f>
        <v>0.00059260675568919565</v>
      </c>
    </row>
    <row r="64" spans="6:6" ht="11.25">
      <c r="F64" s="10"/>
    </row>
    <row r="65" spans="1:6" ht="11.25">
      <c r="A65" s="2" t="s">
        <v>29</v>
      </c>
      <c r="F65" s="10"/>
    </row>
    <row r="66" spans="6:6" ht="11.25">
      <c r="F66" s="10"/>
    </row>
    <row r="67" spans="1:6" ht="11.25">
      <c r="A67" s="2" t="s">
        <v>30</v>
      </c>
      <c r="F67" s="10"/>
    </row>
    <row r="68" spans="4:7" ht="11.25">
      <c r="D68" s="3" t="s">
        <v>31</v>
      </c>
      <c r="E68" s="3" t="s">
        <v>8</v>
      </c>
      <c r="F68" s="67" t="s">
        <v>9</v>
      </c>
      <c r="G68" s="3" t="s">
        <v>32</v>
      </c>
    </row>
    <row r="69" spans="4:7" ht="11.25">
      <c r="D69" s="5" t="s">
        <v>12</v>
      </c>
      <c r="E69" s="5" t="s">
        <v>13</v>
      </c>
      <c r="F69" s="68" t="s">
        <v>14</v>
      </c>
      <c r="G69" s="5" t="s">
        <v>15</v>
      </c>
    </row>
    <row r="70" spans="4:7" ht="11.25">
      <c r="D70" s="5"/>
      <c r="E70" s="5" t="s">
        <v>16</v>
      </c>
      <c r="F70" s="68" t="s">
        <v>17</v>
      </c>
      <c r="G70" s="5" t="s">
        <v>18</v>
      </c>
    </row>
    <row r="71" spans="1:7" ht="11.25">
      <c r="A71" s="2" t="s">
        <v>21</v>
      </c>
      <c r="B71" s="2" t="s">
        <v>33</v>
      </c>
      <c r="D71" s="69"/>
      <c r="E71" s="70"/>
      <c r="F71" s="71"/>
      <c r="G71" s="72"/>
    </row>
    <row r="72" spans="2:7" ht="11.25">
      <c r="B72" s="2" t="s">
        <v>34</v>
      </c>
      <c r="D72" s="62">
        <v>30</v>
      </c>
      <c r="E72" s="63">
        <v>5242.78</v>
      </c>
      <c r="F72" s="73">
        <f>(E72*D72/1000)</f>
        <v>157.2834</v>
      </c>
      <c r="G72" s="74"/>
    </row>
    <row r="73" spans="2:7" ht="11.25">
      <c r="B73" s="2" t="s">
        <v>35</v>
      </c>
      <c r="D73" s="62">
        <v>8</v>
      </c>
      <c r="E73" s="63">
        <v>11081.23</v>
      </c>
      <c r="F73" s="73">
        <f>(E73*D73/1000)</f>
        <v>88.64984</v>
      </c>
      <c r="G73" s="74"/>
    </row>
    <row r="74" spans="2:7" ht="11.25">
      <c r="B74" s="2" t="s">
        <v>23</v>
      </c>
      <c r="D74" s="53">
        <f>SUM(D72:D73)</f>
        <v>38</v>
      </c>
      <c r="E74" s="54"/>
      <c r="F74" s="38">
        <f>SUM(F72:F73)</f>
        <v>245.93324</v>
      </c>
      <c r="G74" s="76"/>
    </row>
    <row r="75" spans="6:6" ht="11.25">
      <c r="F75" s="10"/>
    </row>
    <row r="76" spans="1:7" ht="11.25">
      <c r="A76" s="2" t="s">
        <v>22</v>
      </c>
      <c r="B76" s="2" t="s">
        <v>34</v>
      </c>
      <c r="C76" s="77" t="s">
        <v>86</v>
      </c>
      <c r="D76" s="77">
        <v>73</v>
      </c>
      <c r="F76" s="38">
        <v>884.123</v>
      </c>
      <c r="G76" s="78"/>
    </row>
    <row r="77" spans="1:7" ht="11.25">
      <c r="A77" s="2" t="s">
        <v>109</v>
      </c>
      <c r="B77" s="2" t="s">
        <v>34</v>
      </c>
      <c r="C77" s="77" t="s">
        <v>86</v>
      </c>
      <c r="D77" s="77">
        <v>5</v>
      </c>
      <c r="F77" s="38">
        <v>50.725</v>
      </c>
      <c r="G77" s="78"/>
    </row>
    <row r="78" spans="4:7" ht="11.25">
      <c r="D78" s="47"/>
      <c r="E78" s="47"/>
      <c r="F78" s="79"/>
      <c r="G78" s="80"/>
    </row>
    <row r="80" spans="1:1" ht="11.25">
      <c r="A80" s="2" t="s">
        <v>36</v>
      </c>
    </row>
    <row r="81" spans="4:7" ht="11.25">
      <c r="D81" s="3" t="s">
        <v>31</v>
      </c>
      <c r="E81" s="3" t="s">
        <v>8</v>
      </c>
      <c r="F81" s="67" t="s">
        <v>9</v>
      </c>
      <c r="G81" s="3" t="s">
        <v>32</v>
      </c>
    </row>
    <row r="82" spans="4:7" ht="11.25">
      <c r="D82" s="5" t="s">
        <v>12</v>
      </c>
      <c r="E82" s="5" t="s">
        <v>13</v>
      </c>
      <c r="F82" s="68" t="s">
        <v>14</v>
      </c>
      <c r="G82" s="5" t="s">
        <v>15</v>
      </c>
    </row>
    <row r="83" spans="4:7" ht="11.25">
      <c r="D83" s="7"/>
      <c r="E83" s="7" t="s">
        <v>16</v>
      </c>
      <c r="F83" s="68" t="s">
        <v>17</v>
      </c>
      <c r="G83" s="5" t="s">
        <v>18</v>
      </c>
    </row>
    <row r="84" spans="2:7" ht="11.25">
      <c r="B84" s="42" t="s">
        <v>27</v>
      </c>
      <c r="C84" s="58"/>
      <c r="D84" s="14"/>
      <c r="E84" s="81"/>
      <c r="F84" s="82">
        <f>F49</f>
        <v>34.943670000000004</v>
      </c>
      <c r="G84" s="22">
        <f>(F84*1000)/836414</f>
        <v>0.041777959240280535</v>
      </c>
    </row>
    <row r="85" spans="2:7" ht="11.25">
      <c r="B85" s="45" t="s">
        <v>21</v>
      </c>
      <c r="C85" s="61"/>
      <c r="D85" s="14"/>
      <c r="E85" s="81"/>
      <c r="F85" s="83">
        <f>F50+F60+F72+F73</f>
        <v>1928.3401600000002</v>
      </c>
      <c r="G85" s="27">
        <f>(F85*1000)/40547086</f>
        <v>0.047558045478286654</v>
      </c>
    </row>
    <row r="86" spans="2:7" ht="11.25">
      <c r="B86" s="45" t="s">
        <v>109</v>
      </c>
      <c r="C86" s="61"/>
      <c r="D86" s="14"/>
      <c r="E86" s="81"/>
      <c r="F86" s="83">
        <f>F51+F77</f>
        <v>67.932909999999993</v>
      </c>
      <c r="G86" s="27">
        <f>(F86*1000)/4456858</f>
        <v>0.015242332154176775</v>
      </c>
    </row>
    <row r="87" spans="2:7" ht="11.25">
      <c r="B87" s="48" t="s">
        <v>22</v>
      </c>
      <c r="C87" s="64"/>
      <c r="D87" s="84"/>
      <c r="E87" s="81"/>
      <c r="F87" s="85">
        <f>F76</f>
        <v>884.123</v>
      </c>
      <c r="G87" s="30">
        <f>(F87*1000)/35110761</f>
        <v>0.025180969446945339</v>
      </c>
    </row>
    <row r="88" spans="2:7" s="1" customFormat="1" ht="11.25">
      <c r="B88" s="51" t="s">
        <v>23</v>
      </c>
      <c r="C88" s="52"/>
      <c r="D88" s="86"/>
      <c r="E88" s="87"/>
      <c r="F88" s="88">
        <f>SUM(F84:F87)</f>
        <v>2915.3397400000003</v>
      </c>
      <c r="G88" s="30">
        <f>(F88*1000)/80951119</f>
        <v>0.036013581727017269</v>
      </c>
    </row>
    <row r="89" spans="6:6" ht="11.25">
      <c r="F89" s="89"/>
    </row>
    <row r="90" spans="1:9" ht="11.25">
      <c r="A90" s="1" t="s">
        <v>37</v>
      </c>
      <c r="B90" s="1"/>
      <c r="C90" s="1"/>
      <c r="D90" s="1"/>
      <c r="E90" s="1"/>
      <c r="F90" s="1"/>
      <c r="G90" s="1"/>
      <c r="H90" s="1"/>
      <c r="I90" s="1"/>
    </row>
    <row r="91" spans="1:9" ht="11.25">
      <c r="A91" s="1" t="s">
        <v>38</v>
      </c>
      <c r="B91" s="1"/>
      <c r="C91" s="1"/>
      <c r="D91" s="1"/>
      <c r="E91" s="1"/>
      <c r="F91" s="1"/>
      <c r="G91" s="1"/>
      <c r="H91" s="1"/>
      <c r="I91" s="1"/>
    </row>
    <row r="92" spans="1:9" ht="11.25">
      <c r="A92" s="1"/>
      <c r="B92" s="90" t="s">
        <v>20</v>
      </c>
      <c r="C92" s="91"/>
      <c r="D92" s="21"/>
      <c r="E92" s="92"/>
      <c r="F92" s="93">
        <f>F12+F84</f>
        <v>457.28139</v>
      </c>
      <c r="G92" s="22">
        <f>(F92*1000)/836414</f>
        <v>0.546716566198079</v>
      </c>
      <c r="H92" s="1"/>
      <c r="I92" s="1"/>
    </row>
    <row r="93" spans="1:9" ht="11.25">
      <c r="A93" s="1"/>
      <c r="B93" s="94" t="s">
        <v>21</v>
      </c>
      <c r="C93" s="95"/>
      <c r="D93" s="26"/>
      <c r="E93" s="96"/>
      <c r="F93" s="97">
        <f>F85+F13+F14+F15+F16+F17</f>
        <v>27170.97804</v>
      </c>
      <c r="G93" s="27">
        <f>(F93*1000)/40547086</f>
        <v>0.67010926605181942</v>
      </c>
      <c r="H93" s="1"/>
      <c r="I93" s="1"/>
    </row>
    <row r="94" spans="1:9" ht="11.25">
      <c r="A94" s="1"/>
      <c r="B94" s="94" t="s">
        <v>109</v>
      </c>
      <c r="C94" s="95"/>
      <c r="D94" s="26"/>
      <c r="E94" s="96"/>
      <c r="F94" s="97">
        <f>F86+F33+F38</f>
        <v>3397.2835999999998</v>
      </c>
      <c r="G94" s="27">
        <f>(F94*1000)/4456858</f>
        <v>0.76225978032057551</v>
      </c>
      <c r="H94" s="1"/>
      <c r="I94" s="1"/>
    </row>
    <row r="95" spans="1:9" ht="11.25">
      <c r="A95" s="1"/>
      <c r="B95" s="94" t="s">
        <v>22</v>
      </c>
      <c r="C95" s="95"/>
      <c r="D95" s="32"/>
      <c r="E95" s="98"/>
      <c r="F95" s="97">
        <f>F87+F20+F19+F18+F37</f>
        <v>28754.563535</v>
      </c>
      <c r="G95" s="30">
        <f>(F95*1000)/35110761</f>
        <v>0.81896725436967888</v>
      </c>
      <c r="H95" s="1"/>
      <c r="I95" s="1"/>
    </row>
    <row r="96" spans="2:7" s="1" customFormat="1" ht="11.25">
      <c r="B96" s="51" t="s">
        <v>23</v>
      </c>
      <c r="C96" s="52"/>
      <c r="D96" s="99"/>
      <c r="E96" s="76"/>
      <c r="F96" s="100">
        <f>SUM(F92:F95)</f>
        <v>59780.106565</v>
      </c>
      <c r="G96" s="30">
        <f>(F96*1000)/80951119</f>
        <v>0.73847165182485008</v>
      </c>
    </row>
    <row r="97" spans="6:6" ht="11.25">
      <c r="F97" s="89"/>
    </row>
    <row r="98" spans="1:1" ht="11.25">
      <c r="A98" s="1" t="s">
        <v>39</v>
      </c>
    </row>
    <row r="99" spans="1:1" ht="11.25">
      <c r="A99" s="2" t="s">
        <v>40</v>
      </c>
    </row>
    <row r="100" spans="6:6" ht="11.25">
      <c r="F100" s="82" t="s">
        <v>9</v>
      </c>
    </row>
    <row r="101" spans="6:6" ht="11.25">
      <c r="F101" s="101" t="s">
        <v>14</v>
      </c>
    </row>
    <row r="102" spans="6:6" ht="11.25">
      <c r="F102" s="102" t="s">
        <v>17</v>
      </c>
    </row>
    <row r="103" spans="2:6" ht="11.25">
      <c r="B103" s="42" t="s">
        <v>20</v>
      </c>
      <c r="C103" s="58"/>
      <c r="D103" s="58"/>
      <c r="E103" s="43"/>
      <c r="F103" s="101">
        <v>235.883</v>
      </c>
    </row>
    <row r="104" spans="2:6" ht="11.25">
      <c r="B104" s="45" t="s">
        <v>21</v>
      </c>
      <c r="C104" s="61"/>
      <c r="D104" s="61"/>
      <c r="E104" s="46"/>
      <c r="F104" s="73">
        <f>5001.549</f>
        <v>5001.549</v>
      </c>
    </row>
    <row r="105" spans="2:6" ht="11.25">
      <c r="B105" s="45" t="s">
        <v>109</v>
      </c>
      <c r="C105" s="61"/>
      <c r="D105" s="61"/>
      <c r="E105" s="46"/>
      <c r="F105" s="73">
        <v>381.792</v>
      </c>
    </row>
    <row r="106" spans="2:6" ht="11.25">
      <c r="B106" s="48" t="s">
        <v>22</v>
      </c>
      <c r="C106" s="64"/>
      <c r="D106" s="64"/>
      <c r="E106" s="49"/>
      <c r="F106" s="75">
        <f>1768.265</f>
        <v>1768.265</v>
      </c>
    </row>
    <row r="107" spans="2:6" s="1" customFormat="1" ht="11.25">
      <c r="B107" s="51" t="s">
        <v>23</v>
      </c>
      <c r="C107" s="52"/>
      <c r="D107" s="52"/>
      <c r="E107" s="52"/>
      <c r="F107" s="38">
        <f>SUM(F103:F106)</f>
        <v>7387.4890000000005</v>
      </c>
    </row>
    <row r="109" spans="1:1" ht="11.25">
      <c r="A109" s="2" t="s">
        <v>41</v>
      </c>
    </row>
    <row r="110" spans="6:6" ht="11.25">
      <c r="F110" s="82" t="s">
        <v>9</v>
      </c>
    </row>
    <row r="111" spans="6:6" ht="11.25">
      <c r="F111" s="101" t="s">
        <v>14</v>
      </c>
    </row>
    <row r="112" spans="6:6" ht="11.25">
      <c r="F112" s="101" t="s">
        <v>17</v>
      </c>
    </row>
    <row r="113" spans="2:6" ht="11.25">
      <c r="B113" s="42" t="s">
        <v>20</v>
      </c>
      <c r="C113" s="58"/>
      <c r="D113" s="58"/>
      <c r="E113" s="58"/>
      <c r="F113" s="82">
        <f>16.79</f>
        <v>16.79</v>
      </c>
    </row>
    <row r="114" spans="2:6" ht="11.25">
      <c r="B114" s="45" t="s">
        <v>21</v>
      </c>
      <c r="C114" s="61"/>
      <c r="D114" s="61"/>
      <c r="E114" s="61"/>
      <c r="F114" s="73">
        <f>1231.311</f>
        <v>1231.311</v>
      </c>
    </row>
    <row r="115" spans="2:6" ht="11.25">
      <c r="B115" s="45" t="s">
        <v>109</v>
      </c>
      <c r="C115" s="61"/>
      <c r="D115" s="61"/>
      <c r="E115" s="61"/>
      <c r="F115" s="73">
        <v>175.386</v>
      </c>
    </row>
    <row r="116" spans="2:6" ht="11.25">
      <c r="B116" s="48" t="s">
        <v>22</v>
      </c>
      <c r="C116" s="64"/>
      <c r="D116" s="64"/>
      <c r="E116" s="64"/>
      <c r="F116" s="75">
        <f>1253.196</f>
        <v>1253.196</v>
      </c>
    </row>
    <row r="117" spans="2:6" ht="11.25">
      <c r="B117" s="51" t="s">
        <v>23</v>
      </c>
      <c r="C117" s="52"/>
      <c r="D117" s="52"/>
      <c r="E117" s="52"/>
      <c r="F117" s="38">
        <f>SUM(F113:F116)</f>
        <v>2676.683</v>
      </c>
    </row>
    <row r="119" spans="1:1" ht="11.25">
      <c r="A119" s="2" t="s">
        <v>42</v>
      </c>
    </row>
    <row r="120" spans="6:6" ht="11.25">
      <c r="F120" s="82" t="s">
        <v>9</v>
      </c>
    </row>
    <row r="121" spans="6:6" ht="11.25">
      <c r="F121" s="101" t="s">
        <v>14</v>
      </c>
    </row>
    <row r="122" spans="6:6" ht="11.25">
      <c r="F122" s="102" t="s">
        <v>17</v>
      </c>
    </row>
    <row r="123" spans="2:6" ht="11.25">
      <c r="B123" s="42" t="s">
        <v>20</v>
      </c>
      <c r="C123" s="58"/>
      <c r="D123" s="58"/>
      <c r="E123" s="43"/>
      <c r="F123" s="101"/>
    </row>
    <row r="124" spans="2:6" ht="11.25">
      <c r="B124" s="45"/>
      <c r="C124" s="61"/>
      <c r="D124" s="61" t="s">
        <v>43</v>
      </c>
      <c r="E124" s="46"/>
      <c r="F124" s="101">
        <v>36.342</v>
      </c>
    </row>
    <row r="125" spans="2:6" ht="11.25">
      <c r="B125" s="45"/>
      <c r="C125" s="61"/>
      <c r="D125" s="61" t="s">
        <v>44</v>
      </c>
      <c r="E125" s="46"/>
      <c r="F125" s="101">
        <f>7.363</f>
        <v>7.363</v>
      </c>
    </row>
    <row r="126" spans="2:6" ht="11.25">
      <c r="B126" s="45"/>
      <c r="C126" s="61"/>
      <c r="D126" s="61" t="s">
        <v>45</v>
      </c>
      <c r="E126" s="46"/>
      <c r="F126" s="101">
        <v>2.054</v>
      </c>
    </row>
    <row r="127" spans="2:6" ht="11.25">
      <c r="B127" s="45"/>
      <c r="C127" s="61"/>
      <c r="D127" s="61" t="s">
        <v>46</v>
      </c>
      <c r="E127" s="46"/>
      <c r="F127" s="101"/>
    </row>
    <row r="128" spans="2:6" ht="11.25">
      <c r="B128" s="45"/>
      <c r="C128" s="61"/>
      <c r="D128" s="61" t="s">
        <v>47</v>
      </c>
      <c r="E128" s="46"/>
      <c r="F128" s="101">
        <v>6.3</v>
      </c>
    </row>
    <row r="129" spans="2:6" ht="11.25">
      <c r="B129" s="45"/>
      <c r="C129" s="61"/>
      <c r="D129" s="61" t="s">
        <v>48</v>
      </c>
      <c r="E129" s="46"/>
      <c r="F129" s="101">
        <f>20.022+2.067</f>
        <v>22.089</v>
      </c>
    </row>
    <row r="130" spans="2:6" ht="11.25">
      <c r="B130" s="45"/>
      <c r="C130" s="95" t="s">
        <v>23</v>
      </c>
      <c r="D130" s="61"/>
      <c r="E130" s="46"/>
      <c r="F130" s="103">
        <f>SUM(F124:F129)</f>
        <v>74.148</v>
      </c>
    </row>
    <row r="131" spans="2:6" ht="11.25">
      <c r="B131" s="45" t="s">
        <v>21</v>
      </c>
      <c r="C131" s="61"/>
      <c r="D131" s="61"/>
      <c r="E131" s="46"/>
      <c r="F131" s="73"/>
    </row>
    <row r="132" spans="2:6" ht="11.25">
      <c r="B132" s="45"/>
      <c r="C132" s="61"/>
      <c r="D132" s="61" t="s">
        <v>43</v>
      </c>
      <c r="E132" s="46"/>
      <c r="F132" s="73">
        <v>1817.061</v>
      </c>
    </row>
    <row r="133" spans="2:6" ht="11.25">
      <c r="B133" s="45"/>
      <c r="C133" s="61"/>
      <c r="D133" s="61" t="s">
        <v>49</v>
      </c>
      <c r="E133" s="46"/>
      <c r="F133" s="73">
        <v>1530</v>
      </c>
    </row>
    <row r="134" spans="2:6" ht="11.25">
      <c r="B134" s="45"/>
      <c r="C134" s="61"/>
      <c r="D134" s="61" t="s">
        <v>50</v>
      </c>
      <c r="E134" s="46"/>
      <c r="F134" s="73">
        <v>88.943</v>
      </c>
    </row>
    <row r="135" spans="2:6" ht="11.25">
      <c r="B135" s="45"/>
      <c r="C135" s="61"/>
      <c r="D135" s="61" t="s">
        <v>51</v>
      </c>
      <c r="E135" s="46"/>
      <c r="F135" s="73">
        <f>25.716</f>
        <v>25.716</v>
      </c>
    </row>
    <row r="136" spans="2:6" ht="11.25">
      <c r="B136" s="45"/>
      <c r="C136" s="61"/>
      <c r="D136" s="61" t="s">
        <v>52</v>
      </c>
      <c r="E136" s="46"/>
      <c r="F136" s="73">
        <v>0</v>
      </c>
    </row>
    <row r="137" spans="2:6" ht="11.25">
      <c r="B137" s="45"/>
      <c r="C137" s="61"/>
      <c r="D137" s="61" t="s">
        <v>44</v>
      </c>
      <c r="E137" s="46"/>
      <c r="F137" s="73">
        <f>512.388</f>
        <v>512.388</v>
      </c>
    </row>
    <row r="138" spans="2:6" ht="11.25">
      <c r="B138" s="45"/>
      <c r="C138" s="61"/>
      <c r="D138" s="61" t="s">
        <v>45</v>
      </c>
      <c r="E138" s="46"/>
      <c r="F138" s="73">
        <f>144.159</f>
        <v>144.159</v>
      </c>
    </row>
    <row r="139" spans="2:6" ht="11.25">
      <c r="B139" s="45"/>
      <c r="C139" s="61"/>
      <c r="D139" s="61" t="s">
        <v>53</v>
      </c>
      <c r="E139" s="46"/>
      <c r="F139" s="73">
        <v>86.314</v>
      </c>
    </row>
    <row r="140" spans="2:6" ht="11.25">
      <c r="B140" s="45"/>
      <c r="C140" s="61"/>
      <c r="D140" s="61" t="s">
        <v>54</v>
      </c>
      <c r="E140" s="46"/>
      <c r="F140" s="73">
        <v>200.238</v>
      </c>
    </row>
    <row r="141" spans="2:6" ht="11.25">
      <c r="B141" s="45"/>
      <c r="C141" s="61"/>
      <c r="D141" s="61" t="s">
        <v>46</v>
      </c>
      <c r="E141" s="46"/>
      <c r="F141" s="73"/>
    </row>
    <row r="142" spans="2:6" ht="11.25">
      <c r="B142" s="45"/>
      <c r="C142" s="61"/>
      <c r="D142" s="61" t="s">
        <v>48</v>
      </c>
      <c r="E142" s="46"/>
      <c r="F142" s="73">
        <f>(306.72+31.005)</f>
        <v>337.725</v>
      </c>
    </row>
    <row r="143" spans="2:6" ht="11.25">
      <c r="B143" s="45"/>
      <c r="C143" s="61"/>
      <c r="D143" s="61" t="s">
        <v>47</v>
      </c>
      <c r="E143" s="46"/>
      <c r="F143" s="73">
        <f>230</f>
        <v>230</v>
      </c>
    </row>
    <row r="144" spans="2:6" ht="11.25">
      <c r="B144" s="45"/>
      <c r="C144" s="61"/>
      <c r="D144" s="61" t="s">
        <v>55</v>
      </c>
      <c r="E144" s="46"/>
      <c r="F144" s="104">
        <v>-56.633</v>
      </c>
    </row>
    <row r="145" spans="2:6" ht="11.25">
      <c r="B145" s="45"/>
      <c r="C145" s="95" t="s">
        <v>23</v>
      </c>
      <c r="D145" s="61"/>
      <c r="E145" s="46"/>
      <c r="F145" s="105">
        <f>SUM(F132:F144)</f>
        <v>4915.911000000001</v>
      </c>
    </row>
    <row r="146" spans="2:6" ht="11.25">
      <c r="B146" s="45"/>
      <c r="C146" s="95"/>
      <c r="D146" s="61"/>
      <c r="E146" s="46"/>
      <c r="F146" s="139"/>
    </row>
    <row r="147" spans="2:6" ht="11.25">
      <c r="B147" s="45" t="s">
        <v>109</v>
      </c>
      <c r="C147" s="61"/>
      <c r="D147" s="61"/>
      <c r="E147" s="46"/>
      <c r="F147" s="73"/>
    </row>
    <row r="148" spans="2:6" ht="11.25">
      <c r="B148" s="45"/>
      <c r="C148" s="61"/>
      <c r="D148" s="61" t="s">
        <v>43</v>
      </c>
      <c r="E148" s="46"/>
      <c r="F148" s="73"/>
    </row>
    <row r="149" spans="2:6" ht="11.25">
      <c r="B149" s="45"/>
      <c r="C149" s="61"/>
      <c r="D149" s="61" t="s">
        <v>49</v>
      </c>
      <c r="E149" s="46"/>
      <c r="F149" s="73">
        <v>34</v>
      </c>
    </row>
    <row r="150" spans="2:6" ht="11.25">
      <c r="B150" s="45"/>
      <c r="C150" s="61"/>
      <c r="D150" s="61" t="s">
        <v>50</v>
      </c>
      <c r="E150" s="46"/>
      <c r="F150" s="73"/>
    </row>
    <row r="151" spans="2:6" ht="11.25">
      <c r="B151" s="45"/>
      <c r="C151" s="61"/>
      <c r="D151" s="61" t="s">
        <v>51</v>
      </c>
      <c r="E151" s="46"/>
      <c r="F151" s="73">
        <v>62.0987</v>
      </c>
    </row>
    <row r="152" spans="2:6" ht="11.25">
      <c r="B152" s="45"/>
      <c r="C152" s="61"/>
      <c r="D152" s="61" t="s">
        <v>58</v>
      </c>
      <c r="E152" s="46"/>
      <c r="F152" s="73">
        <v>12.656</v>
      </c>
    </row>
    <row r="153" spans="2:6" ht="11.25">
      <c r="B153" s="45"/>
      <c r="C153" s="61"/>
      <c r="D153" s="61" t="s">
        <v>44</v>
      </c>
      <c r="E153" s="46"/>
      <c r="F153" s="73">
        <v>147.258</v>
      </c>
    </row>
    <row r="154" spans="2:6" ht="11.25">
      <c r="B154" s="45"/>
      <c r="C154" s="61"/>
      <c r="D154" s="61" t="s">
        <v>45</v>
      </c>
      <c r="E154" s="46"/>
      <c r="F154" s="73">
        <v>25.5</v>
      </c>
    </row>
    <row r="155" spans="2:6" ht="11.25">
      <c r="B155" s="45"/>
      <c r="C155" s="61"/>
      <c r="D155" s="61" t="s">
        <v>60</v>
      </c>
      <c r="E155" s="46"/>
      <c r="F155" s="73">
        <v>24.624</v>
      </c>
    </row>
    <row r="156" spans="2:6" ht="11.25">
      <c r="B156" s="45"/>
      <c r="C156" s="61"/>
      <c r="D156" s="80" t="s">
        <v>91</v>
      </c>
      <c r="E156" s="46"/>
      <c r="F156" s="73">
        <v>6.336</v>
      </c>
    </row>
    <row r="157" spans="2:6" ht="11.25">
      <c r="B157" s="45"/>
      <c r="C157" s="61"/>
      <c r="D157" s="61" t="s">
        <v>61</v>
      </c>
      <c r="E157" s="46"/>
      <c r="F157" s="73">
        <v>80.625</v>
      </c>
    </row>
    <row r="158" spans="2:6" ht="11.25">
      <c r="B158" s="45"/>
      <c r="C158" s="61"/>
      <c r="D158" s="61" t="s">
        <v>48</v>
      </c>
      <c r="E158" s="46"/>
      <c r="F158" s="73">
        <f>9.383+2.498</f>
        <v>11.881</v>
      </c>
    </row>
    <row r="159" spans="2:6" ht="11.25">
      <c r="B159" s="45"/>
      <c r="C159" s="61"/>
      <c r="D159" s="61" t="s">
        <v>47</v>
      </c>
      <c r="E159" s="46"/>
      <c r="F159" s="73">
        <v>13</v>
      </c>
    </row>
    <row r="160" spans="2:6" ht="11.25">
      <c r="B160" s="45"/>
      <c r="C160" s="61"/>
      <c r="D160" s="61" t="s">
        <v>55</v>
      </c>
      <c r="E160" s="46"/>
      <c r="F160" s="104">
        <v>-0.842</v>
      </c>
    </row>
    <row r="161" spans="2:6" ht="11.25">
      <c r="B161" s="45"/>
      <c r="C161" s="95" t="s">
        <v>23</v>
      </c>
      <c r="D161" s="61"/>
      <c r="E161" s="46"/>
      <c r="F161" s="105">
        <f>SUM(F148:F160)</f>
        <v>417.1367</v>
      </c>
    </row>
    <row r="162" spans="2:6" ht="11.25">
      <c r="B162" s="45" t="s">
        <v>22</v>
      </c>
      <c r="C162" s="61"/>
      <c r="D162" s="61"/>
      <c r="E162" s="46"/>
      <c r="F162" s="106"/>
    </row>
    <row r="163" spans="2:6" ht="11.25">
      <c r="B163" s="45"/>
      <c r="C163" s="61"/>
      <c r="D163" s="61" t="s">
        <v>44</v>
      </c>
      <c r="E163" s="46"/>
      <c r="F163" s="106">
        <f>830.817</f>
        <v>830.817</v>
      </c>
    </row>
    <row r="164" spans="2:6" ht="11.25">
      <c r="B164" s="45"/>
      <c r="C164" s="61"/>
      <c r="D164" s="61" t="s">
        <v>45</v>
      </c>
      <c r="E164" s="46"/>
      <c r="F164" s="106">
        <f>177.7</f>
        <v>177.7</v>
      </c>
    </row>
    <row r="165" spans="2:6" ht="11.25">
      <c r="B165" s="45"/>
      <c r="C165" s="61"/>
      <c r="D165" s="61" t="s">
        <v>56</v>
      </c>
      <c r="E165" s="46"/>
      <c r="F165" s="106">
        <v>42.21</v>
      </c>
    </row>
    <row r="166" spans="2:6" ht="11.25">
      <c r="B166" s="45"/>
      <c r="C166" s="61"/>
      <c r="D166" s="61" t="s">
        <v>57</v>
      </c>
      <c r="E166" s="46"/>
      <c r="F166" s="106">
        <v>3.759</v>
      </c>
    </row>
    <row r="167" spans="2:6" ht="11.25">
      <c r="B167" s="45"/>
      <c r="C167" s="61"/>
      <c r="D167" s="61" t="s">
        <v>58</v>
      </c>
      <c r="E167" s="46"/>
      <c r="F167" s="106">
        <v>265.822</v>
      </c>
    </row>
    <row r="168" spans="2:6" ht="11.25">
      <c r="B168" s="45"/>
      <c r="C168" s="61"/>
      <c r="D168" s="61" t="s">
        <v>51</v>
      </c>
      <c r="E168" s="46"/>
      <c r="F168" s="106">
        <v>0</v>
      </c>
    </row>
    <row r="169" spans="2:6" ht="11.25">
      <c r="B169" s="45"/>
      <c r="C169" s="61"/>
      <c r="D169" s="61" t="s">
        <v>52</v>
      </c>
      <c r="E169" s="46"/>
      <c r="F169" s="106">
        <v>0</v>
      </c>
    </row>
    <row r="170" spans="2:6" ht="11.25">
      <c r="B170" s="45"/>
      <c r="C170" s="61"/>
      <c r="D170" s="61" t="s">
        <v>59</v>
      </c>
      <c r="E170" s="46"/>
      <c r="F170" s="106">
        <v>50.611</v>
      </c>
    </row>
    <row r="171" spans="2:6" ht="11.25">
      <c r="B171" s="45"/>
      <c r="C171" s="61"/>
      <c r="D171" s="61" t="s">
        <v>60</v>
      </c>
      <c r="E171" s="46"/>
      <c r="F171" s="106">
        <v>394.44</v>
      </c>
    </row>
    <row r="172" spans="2:6" ht="11.25">
      <c r="B172" s="45"/>
      <c r="C172" s="61"/>
      <c r="D172" s="80" t="s">
        <v>91</v>
      </c>
      <c r="E172" s="46"/>
      <c r="F172" s="106">
        <v>77.78</v>
      </c>
    </row>
    <row r="173" spans="2:6" ht="11.25">
      <c r="B173" s="45"/>
      <c r="C173" s="61"/>
      <c r="D173" s="80" t="s">
        <v>61</v>
      </c>
      <c r="E173" s="46"/>
      <c r="F173" s="106">
        <v>564.375</v>
      </c>
    </row>
    <row r="174" spans="2:6" ht="11.25">
      <c r="B174" s="45"/>
      <c r="C174" s="61"/>
      <c r="D174" s="80" t="s">
        <v>62</v>
      </c>
      <c r="E174" s="46"/>
      <c r="F174" s="106">
        <v>41.627</v>
      </c>
    </row>
    <row r="175" spans="2:6" ht="11.25">
      <c r="B175" s="45"/>
      <c r="C175" s="61"/>
      <c r="D175" s="61" t="s">
        <v>47</v>
      </c>
      <c r="E175" s="46"/>
      <c r="F175" s="106">
        <f>79</f>
        <v>79</v>
      </c>
    </row>
    <row r="176" spans="2:6" ht="11.25">
      <c r="B176" s="45"/>
      <c r="C176" s="61"/>
      <c r="D176" s="61" t="s">
        <v>48</v>
      </c>
      <c r="E176" s="46"/>
      <c r="F176" s="106">
        <f>(44.002+17.486)</f>
        <v>61.488</v>
      </c>
    </row>
    <row r="177" spans="2:6" ht="11.25">
      <c r="B177" s="45"/>
      <c r="C177" s="95" t="s">
        <v>23</v>
      </c>
      <c r="D177" s="80"/>
      <c r="E177" s="46"/>
      <c r="F177" s="105">
        <f>SUM(F163:F176)</f>
        <v>2589.629</v>
      </c>
    </row>
    <row r="178" spans="2:6" ht="11.25">
      <c r="B178" s="48"/>
      <c r="C178" s="64"/>
      <c r="D178" s="107"/>
      <c r="E178" s="49"/>
      <c r="F178" s="106"/>
    </row>
    <row r="179" spans="2:6" ht="11.25">
      <c r="B179" s="51" t="s">
        <v>23</v>
      </c>
      <c r="C179" s="52"/>
      <c r="D179" s="52"/>
      <c r="E179" s="52"/>
      <c r="F179" s="38">
        <f>F177+F145+F130</f>
        <v>7579.688000000001</v>
      </c>
    </row>
    <row r="180" spans="2:6" ht="11.25">
      <c r="B180" s="95"/>
      <c r="C180" s="95"/>
      <c r="D180" s="95"/>
      <c r="E180" s="95"/>
      <c r="F180" s="79"/>
    </row>
    <row r="181" spans="1:6" ht="11.25">
      <c r="A181" s="61" t="s">
        <v>63</v>
      </c>
      <c r="B181" s="95"/>
      <c r="C181" s="95"/>
      <c r="D181" s="95"/>
      <c r="E181" s="95"/>
      <c r="F181" s="79"/>
    </row>
    <row r="182" spans="2:6" ht="11.25">
      <c r="B182" s="95"/>
      <c r="C182" s="95"/>
      <c r="D182" s="95"/>
      <c r="E182" s="95"/>
      <c r="F182" s="82" t="s">
        <v>9</v>
      </c>
    </row>
    <row r="183" spans="6:6" ht="11.25">
      <c r="F183" s="101" t="s">
        <v>14</v>
      </c>
    </row>
    <row r="184" spans="1:6" ht="11.25">
      <c r="A184" s="61"/>
      <c r="F184" s="101" t="s">
        <v>17</v>
      </c>
    </row>
    <row r="185" spans="2:6" ht="11.25">
      <c r="B185" s="42" t="s">
        <v>20</v>
      </c>
      <c r="C185" s="58"/>
      <c r="D185" s="58"/>
      <c r="E185" s="58"/>
      <c r="F185" s="71">
        <v>52.311</v>
      </c>
    </row>
    <row r="186" spans="2:6" ht="11.25">
      <c r="B186" s="45" t="s">
        <v>21</v>
      </c>
      <c r="C186" s="61"/>
      <c r="D186" s="61"/>
      <c r="E186" s="61"/>
      <c r="F186" s="73">
        <f>2227.341</f>
        <v>2227.341</v>
      </c>
    </row>
    <row r="187" spans="2:6" ht="11.25">
      <c r="B187" s="45" t="s">
        <v>109</v>
      </c>
      <c r="C187" s="61"/>
      <c r="D187" s="61"/>
      <c r="E187" s="61"/>
      <c r="F187" s="73">
        <v>85.259</v>
      </c>
    </row>
    <row r="188" spans="2:6" ht="11.25">
      <c r="B188" s="45" t="s">
        <v>22</v>
      </c>
      <c r="C188" s="61"/>
      <c r="D188" s="61"/>
      <c r="E188" s="61"/>
      <c r="F188" s="73">
        <f>745.089</f>
        <v>745.089</v>
      </c>
    </row>
    <row r="189" spans="2:6" ht="11.25">
      <c r="B189" s="51" t="s">
        <v>23</v>
      </c>
      <c r="C189" s="37"/>
      <c r="D189" s="37"/>
      <c r="E189" s="36"/>
      <c r="F189" s="88">
        <f>SUM(F185:F188)</f>
        <v>3110</v>
      </c>
    </row>
    <row r="190" spans="2:6" ht="11.25">
      <c r="B190" s="61"/>
      <c r="C190" s="61"/>
      <c r="D190" s="61"/>
      <c r="E190" s="61"/>
      <c r="F190" s="108"/>
    </row>
    <row r="191" spans="2:6" ht="11.25">
      <c r="B191" s="61"/>
      <c r="C191" s="61"/>
      <c r="D191" s="61"/>
      <c r="E191" s="61"/>
      <c r="F191" s="108"/>
    </row>
    <row r="192" spans="1:1" ht="11.25">
      <c r="A192" s="2" t="s">
        <v>64</v>
      </c>
    </row>
    <row r="193" spans="6:6" ht="11.25">
      <c r="F193" s="82" t="s">
        <v>9</v>
      </c>
    </row>
    <row r="194" spans="6:6" ht="11.25">
      <c r="F194" s="101" t="s">
        <v>14</v>
      </c>
    </row>
    <row r="195" spans="6:6" ht="11.25">
      <c r="F195" s="101" t="s">
        <v>17</v>
      </c>
    </row>
    <row r="196" spans="2:6" ht="11.25">
      <c r="B196" s="42" t="s">
        <v>20</v>
      </c>
      <c r="C196" s="58"/>
      <c r="D196" s="58"/>
      <c r="E196" s="58"/>
      <c r="F196" s="82">
        <f>F185+F130+F113+F103</f>
        <v>379.132</v>
      </c>
    </row>
    <row r="197" spans="2:6" ht="11.25">
      <c r="B197" s="45" t="s">
        <v>21</v>
      </c>
      <c r="C197" s="61"/>
      <c r="D197" s="61"/>
      <c r="E197" s="61"/>
      <c r="F197" s="83">
        <f>F186+F145+F114+F104</f>
        <v>13376.112000000001</v>
      </c>
    </row>
    <row r="198" spans="2:6" ht="11.25">
      <c r="B198" s="45" t="s">
        <v>109</v>
      </c>
      <c r="C198" s="61"/>
      <c r="D198" s="61"/>
      <c r="E198" s="61"/>
      <c r="F198" s="83">
        <f>F187+F161+F115+F105</f>
        <v>1059.5737</v>
      </c>
    </row>
    <row r="199" spans="2:6" ht="11.25">
      <c r="B199" s="48" t="s">
        <v>22</v>
      </c>
      <c r="C199" s="64"/>
      <c r="D199" s="64"/>
      <c r="E199" s="64"/>
      <c r="F199" s="85">
        <f>F188+F177+F116+F106</f>
        <v>6356.179</v>
      </c>
    </row>
    <row r="200" spans="2:6" ht="11.25">
      <c r="B200" s="51" t="s">
        <v>23</v>
      </c>
      <c r="C200" s="37"/>
      <c r="D200" s="37"/>
      <c r="E200" s="37"/>
      <c r="F200" s="88">
        <f>SUM(F196:F199)</f>
        <v>21170.9967</v>
      </c>
    </row>
    <row r="202" spans="1:7" ht="11.25">
      <c r="A202" s="1" t="s">
        <v>65</v>
      </c>
      <c r="B202" s="1"/>
      <c r="C202" s="1"/>
      <c r="D202" s="1"/>
      <c r="E202" s="1"/>
      <c r="F202" s="1"/>
      <c r="G202" s="1"/>
    </row>
    <row r="203" spans="1:7" ht="11.25">
      <c r="A203" s="1"/>
      <c r="B203" s="1"/>
      <c r="C203" s="1"/>
      <c r="D203" s="1"/>
      <c r="E203" s="1"/>
      <c r="F203" s="109" t="s">
        <v>9</v>
      </c>
      <c r="G203" s="1"/>
    </row>
    <row r="204" spans="1:7" ht="11.25">
      <c r="A204" s="1"/>
      <c r="B204" s="1"/>
      <c r="C204" s="1"/>
      <c r="D204" s="1"/>
      <c r="E204" s="1"/>
      <c r="F204" s="110" t="s">
        <v>14</v>
      </c>
      <c r="G204" s="1"/>
    </row>
    <row r="205" spans="1:7" ht="11.25">
      <c r="A205" s="1"/>
      <c r="B205" s="1"/>
      <c r="C205" s="1"/>
      <c r="D205" s="1"/>
      <c r="E205" s="1"/>
      <c r="F205" s="110" t="s">
        <v>17</v>
      </c>
      <c r="G205" s="1"/>
    </row>
    <row r="206" spans="1:9" ht="11.25">
      <c r="A206" s="1"/>
      <c r="B206" s="90" t="s">
        <v>20</v>
      </c>
      <c r="C206" s="91"/>
      <c r="D206" s="91"/>
      <c r="E206" s="91"/>
      <c r="F206" s="109">
        <f>F196+F92</f>
        <v>836.41338999999994</v>
      </c>
      <c r="G206" s="140"/>
      <c r="H206" s="111"/>
      <c r="I206" s="12"/>
    </row>
    <row r="207" spans="1:9" ht="11.25">
      <c r="A207" s="1"/>
      <c r="B207" s="94" t="s">
        <v>21</v>
      </c>
      <c r="C207" s="95"/>
      <c r="D207" s="95"/>
      <c r="E207" s="95"/>
      <c r="F207" s="112">
        <f>F197+F93</f>
        <v>40547.09004</v>
      </c>
      <c r="G207" s="140"/>
      <c r="H207" s="111"/>
      <c r="I207" s="12"/>
    </row>
    <row r="208" spans="1:9" ht="11.25">
      <c r="A208" s="1"/>
      <c r="B208" s="94" t="s">
        <v>109</v>
      </c>
      <c r="C208" s="95"/>
      <c r="D208" s="95"/>
      <c r="E208" s="95"/>
      <c r="F208" s="112">
        <f>F198+F94</f>
        <v>4456.8573</v>
      </c>
      <c r="G208" s="140"/>
      <c r="H208" s="111"/>
      <c r="I208" s="12"/>
    </row>
    <row r="209" spans="1:9" ht="11.25">
      <c r="A209" s="1"/>
      <c r="B209" s="31" t="s">
        <v>22</v>
      </c>
      <c r="C209" s="113"/>
      <c r="D209" s="113"/>
      <c r="E209" s="113"/>
      <c r="F209" s="112">
        <f>F199+F95</f>
        <v>35110.742535</v>
      </c>
      <c r="G209" s="140"/>
      <c r="H209" s="111"/>
      <c r="I209" s="12"/>
    </row>
    <row r="210" spans="1:8" ht="11.25">
      <c r="A210" s="1"/>
      <c r="B210" s="51" t="s">
        <v>23</v>
      </c>
      <c r="C210" s="52"/>
      <c r="D210" s="52"/>
      <c r="E210" s="52"/>
      <c r="F210" s="88">
        <f>SUM(F206:F209)</f>
        <v>80951.103265</v>
      </c>
      <c r="G210" s="1"/>
      <c r="H210" s="89"/>
    </row>
    <row r="212" spans="1:1" ht="11.25">
      <c r="A212" s="1" t="s">
        <v>66</v>
      </c>
    </row>
    <row r="214" spans="1:1" ht="11.25">
      <c r="A214" s="1" t="s">
        <v>67</v>
      </c>
    </row>
    <row r="215" spans="1:1" ht="11.25">
      <c r="A215" s="2" t="s">
        <v>68</v>
      </c>
    </row>
    <row r="216" spans="2:6" ht="11.25">
      <c r="B216" s="114" t="s">
        <v>69</v>
      </c>
      <c r="C216" s="58"/>
      <c r="D216" s="3" t="s">
        <v>31</v>
      </c>
      <c r="E216" s="4" t="s">
        <v>8</v>
      </c>
      <c r="F216" s="82" t="s">
        <v>9</v>
      </c>
    </row>
    <row r="217" spans="2:6" ht="11.25">
      <c r="B217" s="45"/>
      <c r="C217" s="61"/>
      <c r="D217" s="5" t="s">
        <v>12</v>
      </c>
      <c r="E217" s="6" t="s">
        <v>70</v>
      </c>
      <c r="F217" s="101" t="s">
        <v>14</v>
      </c>
    </row>
    <row r="218" spans="2:6" ht="11.25">
      <c r="B218" s="48"/>
      <c r="C218" s="64"/>
      <c r="D218" s="7"/>
      <c r="E218" s="7" t="s">
        <v>16</v>
      </c>
      <c r="F218" s="102" t="s">
        <v>17</v>
      </c>
    </row>
    <row r="219" spans="2:6" ht="11.25">
      <c r="B219" s="42" t="s">
        <v>71</v>
      </c>
      <c r="C219" s="43"/>
      <c r="D219" s="12">
        <v>50</v>
      </c>
      <c r="E219" s="62">
        <f>1018865/D219</f>
        <v>20377.3</v>
      </c>
      <c r="F219" s="71">
        <f>E219*D219/1000</f>
        <v>1018.865</v>
      </c>
    </row>
    <row r="220" spans="2:6" ht="11.25">
      <c r="B220" s="45" t="s">
        <v>117</v>
      </c>
      <c r="C220" s="46"/>
      <c r="D220" s="12">
        <v>112</v>
      </c>
      <c r="E220" s="62">
        <f>2311406/D220</f>
        <v>20637.553571428572</v>
      </c>
      <c r="F220" s="73">
        <f>E220*D220/1000</f>
        <v>2311.406</v>
      </c>
    </row>
    <row r="221" spans="2:6" ht="11.25">
      <c r="B221" s="45" t="s">
        <v>34</v>
      </c>
      <c r="C221" s="46"/>
      <c r="D221" s="12">
        <v>88</v>
      </c>
      <c r="E221" s="62">
        <f>680500/D221</f>
        <v>7732.954545454545</v>
      </c>
      <c r="F221" s="73">
        <f>E221*D221/1000</f>
        <v>680.5</v>
      </c>
    </row>
    <row r="222" spans="2:6" s="1" customFormat="1" ht="11.25">
      <c r="B222" s="51" t="s">
        <v>23</v>
      </c>
      <c r="C222" s="116"/>
      <c r="D222" s="117">
        <f>SUM(D219:D221)</f>
        <v>250</v>
      </c>
      <c r="E222" s="86"/>
      <c r="F222" s="38">
        <f>SUM(F219:F221)</f>
        <v>4010.7709999999997</v>
      </c>
    </row>
    <row r="224" spans="1:1" ht="11.25">
      <c r="A224" s="2" t="s">
        <v>113</v>
      </c>
    </row>
    <row r="225" spans="2:6" ht="11.25">
      <c r="B225" s="114" t="s">
        <v>69</v>
      </c>
      <c r="C225" s="58"/>
      <c r="D225" s="3" t="s">
        <v>31</v>
      </c>
      <c r="E225" s="4" t="s">
        <v>8</v>
      </c>
      <c r="F225" s="82" t="s">
        <v>9</v>
      </c>
    </row>
    <row r="226" spans="2:6" ht="11.25">
      <c r="B226" s="45"/>
      <c r="C226" s="61"/>
      <c r="D226" s="5" t="s">
        <v>12</v>
      </c>
      <c r="E226" s="6" t="s">
        <v>70</v>
      </c>
      <c r="F226" s="101" t="s">
        <v>14</v>
      </c>
    </row>
    <row r="227" spans="2:6" ht="11.25">
      <c r="B227" s="48"/>
      <c r="C227" s="64"/>
      <c r="D227" s="7"/>
      <c r="E227" s="8" t="s">
        <v>16</v>
      </c>
      <c r="F227" s="102" t="s">
        <v>17</v>
      </c>
    </row>
    <row r="228" spans="2:6" ht="11.25">
      <c r="B228" s="141" t="s">
        <v>111</v>
      </c>
      <c r="C228" s="42"/>
      <c r="D228" s="69">
        <v>8</v>
      </c>
      <c r="E228" s="62">
        <f>160991/D228</f>
        <v>20123.875</v>
      </c>
      <c r="F228" s="71">
        <f>E228*D228/1000</f>
        <v>160.991</v>
      </c>
    </row>
    <row r="229" spans="2:6" ht="11.25">
      <c r="B229" s="142" t="s">
        <v>112</v>
      </c>
      <c r="C229" s="48"/>
      <c r="D229" s="65">
        <v>8</v>
      </c>
      <c r="E229" s="62">
        <f>117703/D229</f>
        <v>14712.875</v>
      </c>
      <c r="F229" s="75">
        <f>E229*D229/1000</f>
        <v>117.703</v>
      </c>
    </row>
    <row r="230" spans="2:6" s="1" customFormat="1" ht="11.25">
      <c r="B230" s="51" t="s">
        <v>23</v>
      </c>
      <c r="C230" s="52"/>
      <c r="D230" s="53">
        <f>SUM(D228:D229)</f>
        <v>16</v>
      </c>
      <c r="E230" s="87"/>
      <c r="F230" s="38">
        <f>SUM(F228:F229)</f>
        <v>278.694</v>
      </c>
    </row>
    <row r="231" spans="2:6" s="1" customFormat="1" ht="11.25">
      <c r="B231" s="95"/>
      <c r="C231" s="95"/>
      <c r="D231" s="143"/>
      <c r="E231" s="79"/>
      <c r="F231" s="79"/>
    </row>
    <row r="232" spans="1:1" ht="11.25">
      <c r="A232" s="2" t="s">
        <v>72</v>
      </c>
    </row>
    <row r="233" spans="2:6" ht="11.25">
      <c r="B233" s="114" t="s">
        <v>69</v>
      </c>
      <c r="C233" s="58"/>
      <c r="D233" s="3" t="s">
        <v>31</v>
      </c>
      <c r="E233" s="4" t="s">
        <v>8</v>
      </c>
      <c r="F233" s="82" t="s">
        <v>9</v>
      </c>
    </row>
    <row r="234" spans="2:6" ht="11.25">
      <c r="B234" s="45"/>
      <c r="C234" s="61"/>
      <c r="D234" s="5" t="s">
        <v>12</v>
      </c>
      <c r="E234" s="6" t="s">
        <v>70</v>
      </c>
      <c r="F234" s="101" t="s">
        <v>14</v>
      </c>
    </row>
    <row r="235" spans="2:6" ht="11.25">
      <c r="B235" s="48"/>
      <c r="C235" s="64"/>
      <c r="D235" s="7"/>
      <c r="E235" s="8" t="s">
        <v>16</v>
      </c>
      <c r="F235" s="102" t="s">
        <v>17</v>
      </c>
    </row>
    <row r="236" spans="2:6" ht="11.25">
      <c r="B236" s="42" t="s">
        <v>71</v>
      </c>
      <c r="C236" s="58"/>
      <c r="D236" s="69">
        <v>0.833333</v>
      </c>
      <c r="E236" s="69">
        <f>44845/D236</f>
        <v>53814.021525608608</v>
      </c>
      <c r="F236" s="73">
        <f>E236*D236/1000</f>
        <v>44.845</v>
      </c>
    </row>
    <row r="237" spans="2:6" s="1" customFormat="1" ht="11.25">
      <c r="B237" s="51" t="s">
        <v>23</v>
      </c>
      <c r="C237" s="52"/>
      <c r="D237" s="53">
        <f>SUM(D236)</f>
        <v>0.833333</v>
      </c>
      <c r="E237" s="87"/>
      <c r="F237" s="38">
        <f>SUM(F236)</f>
        <v>44.845</v>
      </c>
    </row>
    <row r="239" spans="1:6" s="1" customFormat="1" ht="11.25">
      <c r="A239" s="51" t="s">
        <v>73</v>
      </c>
      <c r="B239" s="52"/>
      <c r="C239" s="52"/>
      <c r="D239" s="52"/>
      <c r="E239" s="52"/>
      <c r="F239" s="88">
        <f>F237+F230+F222</f>
        <v>4334.3099999999995</v>
      </c>
    </row>
    <row r="241" spans="1:1" ht="11.25">
      <c r="A241" s="1" t="s">
        <v>74</v>
      </c>
    </row>
    <row r="242" spans="1:6" ht="11.25">
      <c r="A242" s="1"/>
      <c r="F242" s="82" t="s">
        <v>9</v>
      </c>
    </row>
    <row r="243" spans="1:6" ht="11.25">
      <c r="A243" s="1"/>
      <c r="F243" s="101" t="s">
        <v>14</v>
      </c>
    </row>
    <row r="244" spans="1:6" ht="11.25">
      <c r="A244" s="1"/>
      <c r="F244" s="101" t="s">
        <v>17</v>
      </c>
    </row>
    <row r="245" spans="2:6" ht="11.25">
      <c r="B245" s="118" t="s">
        <v>115</v>
      </c>
      <c r="C245" s="58"/>
      <c r="D245" s="58"/>
      <c r="E245" s="43"/>
      <c r="F245" s="115">
        <f>(179096+23890)/1000</f>
        <v>202.986</v>
      </c>
    </row>
    <row r="246" spans="2:6" ht="11.25">
      <c r="B246" s="119" t="s">
        <v>45</v>
      </c>
      <c r="C246" s="61"/>
      <c r="D246" s="61"/>
      <c r="E246" s="46"/>
      <c r="F246" s="106">
        <f>12503/1000</f>
        <v>12.503</v>
      </c>
    </row>
    <row r="247" spans="2:6" ht="11.25">
      <c r="B247" s="119" t="s">
        <v>114</v>
      </c>
      <c r="C247" s="61"/>
      <c r="D247" s="61"/>
      <c r="E247" s="46"/>
      <c r="F247" s="106">
        <f>(239658+62435+19286)/1000</f>
        <v>321.379</v>
      </c>
    </row>
    <row r="248" spans="2:6" ht="11.25">
      <c r="B248" s="119" t="s">
        <v>75</v>
      </c>
      <c r="C248" s="61"/>
      <c r="D248" s="61"/>
      <c r="E248" s="46"/>
      <c r="F248" s="106">
        <f>(451539+139512)/1000</f>
        <v>591.051</v>
      </c>
    </row>
    <row r="249" spans="2:6" ht="11.25">
      <c r="B249" s="119" t="s">
        <v>48</v>
      </c>
      <c r="C249" s="61"/>
      <c r="D249" s="61"/>
      <c r="E249" s="46"/>
      <c r="F249" s="106">
        <f>(512+117+971+181+259+182+1109+485+200+3082)/1000</f>
        <v>7.098</v>
      </c>
    </row>
    <row r="250" spans="2:6" ht="11.25">
      <c r="B250" s="119" t="s">
        <v>76</v>
      </c>
      <c r="C250" s="61"/>
      <c r="D250" s="61"/>
      <c r="E250" s="46"/>
      <c r="F250" s="106">
        <f>(99465+1000)/1000</f>
        <v>100.465</v>
      </c>
    </row>
    <row r="251" spans="2:6" ht="11.25">
      <c r="B251" s="120" t="s">
        <v>47</v>
      </c>
      <c r="C251" s="61"/>
      <c r="D251" s="61"/>
      <c r="E251" s="46"/>
      <c r="F251" s="106">
        <f>3400/1000</f>
        <v>3.4</v>
      </c>
    </row>
    <row r="252" spans="2:6" ht="11.25">
      <c r="B252" s="119" t="s">
        <v>77</v>
      </c>
      <c r="C252" s="61"/>
      <c r="D252" s="61"/>
      <c r="E252" s="46"/>
      <c r="F252" s="106">
        <f>(33645+36551)/1000</f>
        <v>70.196</v>
      </c>
    </row>
    <row r="253" spans="2:6" ht="11.25">
      <c r="B253" s="119" t="s">
        <v>78</v>
      </c>
      <c r="C253" s="61"/>
      <c r="D253" s="61"/>
      <c r="E253" s="46"/>
      <c r="F253" s="106">
        <f>50661/1000</f>
        <v>50.661</v>
      </c>
    </row>
    <row r="254" spans="2:6" ht="11.25">
      <c r="B254" s="119" t="s">
        <v>79</v>
      </c>
      <c r="C254" s="61"/>
      <c r="D254" s="61"/>
      <c r="E254" s="46"/>
      <c r="F254" s="106">
        <f>200000/1000</f>
        <v>200</v>
      </c>
    </row>
    <row r="255" spans="2:6" ht="11.25">
      <c r="B255" s="119" t="s">
        <v>80</v>
      </c>
      <c r="C255" s="61"/>
      <c r="D255" s="61"/>
      <c r="E255" s="46"/>
      <c r="F255" s="106">
        <f>6311/1000</f>
        <v>6.311</v>
      </c>
    </row>
    <row r="256" spans="2:6" ht="11.25">
      <c r="B256" s="119" t="s">
        <v>81</v>
      </c>
      <c r="C256" s="61"/>
      <c r="D256" s="61"/>
      <c r="E256" s="46"/>
      <c r="F256" s="106">
        <f>99220/1000</f>
        <v>99.22</v>
      </c>
    </row>
    <row r="257" spans="2:6" ht="11.25">
      <c r="B257" s="119" t="s">
        <v>116</v>
      </c>
      <c r="C257" s="61"/>
      <c r="D257" s="61"/>
      <c r="E257" s="46"/>
      <c r="F257" s="106">
        <f>210371/1000</f>
        <v>210.371</v>
      </c>
    </row>
    <row r="258" spans="2:6" ht="11.25">
      <c r="B258" s="121" t="s">
        <v>82</v>
      </c>
      <c r="C258" s="64"/>
      <c r="D258" s="64"/>
      <c r="E258" s="49"/>
      <c r="F258" s="106">
        <f>9313/1000</f>
        <v>9.313</v>
      </c>
    </row>
    <row r="259" spans="2:6" s="1" customFormat="1" ht="11.25">
      <c r="B259" s="51" t="s">
        <v>23</v>
      </c>
      <c r="C259" s="52"/>
      <c r="D259" s="52"/>
      <c r="E259" s="116"/>
      <c r="F259" s="100">
        <f>SUM(F245:F258)</f>
        <v>1884.954</v>
      </c>
    </row>
    <row r="261" spans="2:6" ht="11.25">
      <c r="B261" s="42" t="s">
        <v>83</v>
      </c>
      <c r="C261" s="58"/>
      <c r="D261" s="58"/>
      <c r="E261" s="58"/>
      <c r="F261" s="71">
        <f>180459/1000</f>
        <v>180.459</v>
      </c>
    </row>
    <row r="262" spans="2:6" ht="11.25">
      <c r="B262" s="51" t="s">
        <v>23</v>
      </c>
      <c r="C262" s="37"/>
      <c r="D262" s="37"/>
      <c r="E262" s="37"/>
      <c r="F262" s="88">
        <f>F261</f>
        <v>180.459</v>
      </c>
    </row>
    <row r="263" spans="2:6" ht="11.25">
      <c r="B263" s="95"/>
      <c r="C263" s="61"/>
      <c r="D263" s="61"/>
      <c r="E263" s="61"/>
      <c r="F263" s="97"/>
    </row>
    <row r="265" spans="1:9" ht="11.25">
      <c r="A265" s="51" t="s">
        <v>84</v>
      </c>
      <c r="B265" s="37"/>
      <c r="C265" s="37"/>
      <c r="D265" s="37"/>
      <c r="E265" s="37"/>
      <c r="F265" s="88">
        <f>F262+F259+F239</f>
        <v>6399.723</v>
      </c>
      <c r="G265" s="89"/>
      <c r="H265" s="111"/>
      <c r="I265" s="111"/>
    </row>
    <row r="266" spans="6:7" ht="11.25">
      <c r="F266" s="1"/>
      <c r="G266" s="89"/>
    </row>
    <row r="267" spans="1:9" ht="12" thickBot="1">
      <c r="A267" s="122" t="s">
        <v>85</v>
      </c>
      <c r="B267" s="123"/>
      <c r="C267" s="123"/>
      <c r="D267" s="123"/>
      <c r="E267" s="123"/>
      <c r="F267" s="124">
        <f>F265+F210</f>
        <v>87350.826265</v>
      </c>
      <c r="H267" s="111"/>
      <c r="I267" s="111"/>
    </row>
    <row r="268" spans="8:8" ht="12" thickTop="1">
      <c r="H268" s="125"/>
    </row>
  </sheetData>
  <pageMargins left="0.7" right="0.7" top="0.75" bottom="0.75" header="0.3" footer="0.3"/>
  <pageSetup paperSize="8" orientation="portrait"/>
  <headerFooter scaleWithDoc="1" alignWithMargins="0" differentFirst="0" differentOddEven="0"/>
  <rowBreaks count="3" manualBreakCount="3">
    <brk id="79" max="16383" man="1"/>
    <brk id="161" max="16383" man="1"/>
    <brk id="211" max="16383" man="1"/>
  </rowBreak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0.2"/>
  <sheetData/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0.2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Vale of Glamorgan Council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Teagle, Ian</dc:creator>
  <cp:keywords/>
  <cp:lastModifiedBy>Jacquie Jones</cp:lastModifiedBy>
  <dcterms:created xsi:type="dcterms:W3CDTF">2015-03-11T10:33:55Z</dcterms:created>
  <dcterms:modified xsi:type="dcterms:W3CDTF">2018-06-12T13:38:28Z</dcterms:modified>
  <dc:subject/>
  <cp:lastPrinted>2016-03-29T15:38:10Z</cp:lastPrinted>
  <dc:title>Section 52 Part 2 1617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